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80" windowHeight="16440"/>
  </bookViews>
  <sheets>
    <sheet name="众筹_配捐_20221231 (2)" sheetId="5" r:id="rId1"/>
  </sheets>
  <definedNames>
    <definedName name="_xlnm.Print_Area" localSheetId="0">'众筹_配捐_20221231 (2)'!$A$2:$X$515</definedName>
    <definedName name="_xlnm.Print_Titles" localSheetId="0">'众筹_配捐_20221231 (2)'!$2:$4</definedName>
  </definedNames>
  <calcPr calcId="144525"/>
</workbook>
</file>

<file path=xl/calcChain.xml><?xml version="1.0" encoding="utf-8"?>
<calcChain xmlns="http://schemas.openxmlformats.org/spreadsheetml/2006/main">
  <c r="W511" i="5"/>
  <c r="V511"/>
  <c r="P511"/>
  <c r="N511"/>
  <c r="M511" s="1"/>
  <c r="J511"/>
  <c r="T511" s="1"/>
  <c r="H511"/>
  <c r="F511"/>
  <c r="V509"/>
  <c r="P509"/>
  <c r="N509"/>
  <c r="J509"/>
  <c r="T509" s="1"/>
  <c r="H509"/>
  <c r="W509" s="1"/>
  <c r="F509"/>
  <c r="V507"/>
  <c r="P507"/>
  <c r="M507" s="1"/>
  <c r="N507"/>
  <c r="J507"/>
  <c r="V502"/>
  <c r="P502"/>
  <c r="N502"/>
  <c r="M502"/>
  <c r="J502"/>
  <c r="H502" s="1"/>
  <c r="I502"/>
  <c r="F501"/>
  <c r="V500"/>
  <c r="T500"/>
  <c r="P500"/>
  <c r="M500" s="1"/>
  <c r="N500"/>
  <c r="J500"/>
  <c r="I500"/>
  <c r="W499"/>
  <c r="V499"/>
  <c r="V498" s="1"/>
  <c r="P499"/>
  <c r="N499"/>
  <c r="J499"/>
  <c r="T499" s="1"/>
  <c r="H499"/>
  <c r="F499"/>
  <c r="U498"/>
  <c r="S498"/>
  <c r="R498"/>
  <c r="Q498"/>
  <c r="P498"/>
  <c r="O498"/>
  <c r="L498"/>
  <c r="J498"/>
  <c r="G498"/>
  <c r="V496"/>
  <c r="T496"/>
  <c r="M496"/>
  <c r="J496"/>
  <c r="H496"/>
  <c r="W496" s="1"/>
  <c r="F496"/>
  <c r="V495"/>
  <c r="M495"/>
  <c r="J495"/>
  <c r="W493"/>
  <c r="V493"/>
  <c r="P493"/>
  <c r="N493"/>
  <c r="N488" s="1"/>
  <c r="M493"/>
  <c r="J493"/>
  <c r="T493" s="1"/>
  <c r="I493"/>
  <c r="H493"/>
  <c r="F493"/>
  <c r="V492"/>
  <c r="P492"/>
  <c r="N492"/>
  <c r="M492" s="1"/>
  <c r="J492"/>
  <c r="V491"/>
  <c r="T491"/>
  <c r="M491"/>
  <c r="J491"/>
  <c r="H491"/>
  <c r="W491" s="1"/>
  <c r="F491"/>
  <c r="F490"/>
  <c r="V489"/>
  <c r="P489"/>
  <c r="N489"/>
  <c r="M489"/>
  <c r="J489"/>
  <c r="I489"/>
  <c r="H489" s="1"/>
  <c r="W489" s="1"/>
  <c r="U488"/>
  <c r="S488"/>
  <c r="R488"/>
  <c r="Q488"/>
  <c r="P488"/>
  <c r="O488"/>
  <c r="L488"/>
  <c r="K488"/>
  <c r="I488"/>
  <c r="G488"/>
  <c r="F479"/>
  <c r="V478"/>
  <c r="M478"/>
  <c r="J478"/>
  <c r="T478" s="1"/>
  <c r="I478"/>
  <c r="H478" s="1"/>
  <c r="F478" s="1"/>
  <c r="F475"/>
  <c r="F474"/>
  <c r="F473"/>
  <c r="F472"/>
  <c r="F471"/>
  <c r="F470"/>
  <c r="V469"/>
  <c r="T469"/>
  <c r="P469"/>
  <c r="N469"/>
  <c r="J469"/>
  <c r="I469"/>
  <c r="H469" s="1"/>
  <c r="V461"/>
  <c r="M461"/>
  <c r="J461"/>
  <c r="T461" s="1"/>
  <c r="I461"/>
  <c r="V451"/>
  <c r="M451"/>
  <c r="J451"/>
  <c r="T451" s="1"/>
  <c r="I451"/>
  <c r="W449"/>
  <c r="V449"/>
  <c r="P449"/>
  <c r="N449"/>
  <c r="M449"/>
  <c r="J449"/>
  <c r="T449" s="1"/>
  <c r="I449"/>
  <c r="H449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V401"/>
  <c r="M401"/>
  <c r="J401"/>
  <c r="T401" s="1"/>
  <c r="I401"/>
  <c r="H401" s="1"/>
  <c r="W401" s="1"/>
  <c r="F401"/>
  <c r="F394"/>
  <c r="F393"/>
  <c r="F392"/>
  <c r="F391"/>
  <c r="F390"/>
  <c r="F389"/>
  <c r="F388"/>
  <c r="F387"/>
  <c r="W386"/>
  <c r="V386"/>
  <c r="P386"/>
  <c r="N386"/>
  <c r="M386" s="1"/>
  <c r="J386"/>
  <c r="T386" s="1"/>
  <c r="I386"/>
  <c r="H386"/>
  <c r="F386" s="1"/>
  <c r="F383"/>
  <c r="W382"/>
  <c r="V382"/>
  <c r="P382"/>
  <c r="N382"/>
  <c r="N381" s="1"/>
  <c r="M382"/>
  <c r="J382"/>
  <c r="T382" s="1"/>
  <c r="I382"/>
  <c r="H382"/>
  <c r="F382"/>
  <c r="U381"/>
  <c r="S381"/>
  <c r="R381"/>
  <c r="Q381"/>
  <c r="O381"/>
  <c r="L381"/>
  <c r="J381" s="1"/>
  <c r="G381"/>
  <c r="V378"/>
  <c r="P378"/>
  <c r="N378"/>
  <c r="M378"/>
  <c r="J378"/>
  <c r="T378" s="1"/>
  <c r="I378"/>
  <c r="H378" s="1"/>
  <c r="W378" s="1"/>
  <c r="F378"/>
  <c r="W371"/>
  <c r="V371"/>
  <c r="P371"/>
  <c r="N371"/>
  <c r="M371" s="1"/>
  <c r="J371"/>
  <c r="T371" s="1"/>
  <c r="I371"/>
  <c r="H371"/>
  <c r="F371" s="1"/>
  <c r="V365"/>
  <c r="T365"/>
  <c r="M365"/>
  <c r="J365"/>
  <c r="I365"/>
  <c r="H365"/>
  <c r="V358"/>
  <c r="P358"/>
  <c r="N358"/>
  <c r="M358"/>
  <c r="J358"/>
  <c r="T358" s="1"/>
  <c r="I358"/>
  <c r="H358" s="1"/>
  <c r="W358" s="1"/>
  <c r="V356"/>
  <c r="M356"/>
  <c r="J356"/>
  <c r="T356" s="1"/>
  <c r="I356"/>
  <c r="F355"/>
  <c r="V333"/>
  <c r="T333"/>
  <c r="M333"/>
  <c r="J333"/>
  <c r="I333"/>
  <c r="H333"/>
  <c r="W333" s="1"/>
  <c r="F333"/>
  <c r="F332"/>
  <c r="F331"/>
  <c r="F330"/>
  <c r="F323"/>
  <c r="V322"/>
  <c r="T322"/>
  <c r="T320" s="1"/>
  <c r="P322"/>
  <c r="N322"/>
  <c r="M322" s="1"/>
  <c r="J322"/>
  <c r="I322"/>
  <c r="H322" s="1"/>
  <c r="U320"/>
  <c r="S320"/>
  <c r="R320"/>
  <c r="Q320"/>
  <c r="O320"/>
  <c r="N320"/>
  <c r="L320"/>
  <c r="J320"/>
  <c r="G320"/>
  <c r="V318"/>
  <c r="M318"/>
  <c r="J318"/>
  <c r="V317"/>
  <c r="M317"/>
  <c r="J317"/>
  <c r="T317" s="1"/>
  <c r="H317"/>
  <c r="F317" s="1"/>
  <c r="V316"/>
  <c r="P316"/>
  <c r="N316"/>
  <c r="M316"/>
  <c r="J316"/>
  <c r="H316" s="1"/>
  <c r="F315"/>
  <c r="F314"/>
  <c r="F313"/>
  <c r="V312"/>
  <c r="T312"/>
  <c r="M312"/>
  <c r="J312"/>
  <c r="I312"/>
  <c r="H312" s="1"/>
  <c r="V311"/>
  <c r="V305" s="1"/>
  <c r="T311"/>
  <c r="M311"/>
  <c r="J311"/>
  <c r="H311"/>
  <c r="W311" s="1"/>
  <c r="F311"/>
  <c r="V310"/>
  <c r="T310"/>
  <c r="M310"/>
  <c r="J310"/>
  <c r="H310"/>
  <c r="W310" s="1"/>
  <c r="F310"/>
  <c r="V308"/>
  <c r="M308"/>
  <c r="J308"/>
  <c r="I308"/>
  <c r="V307"/>
  <c r="M307"/>
  <c r="J307"/>
  <c r="V306"/>
  <c r="M306"/>
  <c r="J306"/>
  <c r="T306" s="1"/>
  <c r="U305"/>
  <c r="S305"/>
  <c r="R305"/>
  <c r="Q305"/>
  <c r="P305"/>
  <c r="O305"/>
  <c r="N305"/>
  <c r="L305"/>
  <c r="J305" s="1"/>
  <c r="G305"/>
  <c r="V303"/>
  <c r="M303"/>
  <c r="J303"/>
  <c r="T303" s="1"/>
  <c r="H303"/>
  <c r="F303" s="1"/>
  <c r="V296"/>
  <c r="P296"/>
  <c r="N296"/>
  <c r="M296"/>
  <c r="J296"/>
  <c r="T296" s="1"/>
  <c r="I296"/>
  <c r="F287"/>
  <c r="F286"/>
  <c r="F285"/>
  <c r="V284"/>
  <c r="M284"/>
  <c r="J284"/>
  <c r="T284" s="1"/>
  <c r="I284"/>
  <c r="V283"/>
  <c r="M283"/>
  <c r="J283"/>
  <c r="T283" s="1"/>
  <c r="H283"/>
  <c r="F283" s="1"/>
  <c r="V280"/>
  <c r="V277" s="1"/>
  <c r="P280"/>
  <c r="N280"/>
  <c r="M280"/>
  <c r="J280"/>
  <c r="H280" s="1"/>
  <c r="W280" s="1"/>
  <c r="I280"/>
  <c r="F280"/>
  <c r="V278"/>
  <c r="M278"/>
  <c r="J278"/>
  <c r="I278"/>
  <c r="U277"/>
  <c r="S277"/>
  <c r="R277"/>
  <c r="Q277"/>
  <c r="P277"/>
  <c r="O277"/>
  <c r="N277"/>
  <c r="L277"/>
  <c r="J277" s="1"/>
  <c r="G277"/>
  <c r="V274"/>
  <c r="T274"/>
  <c r="J274"/>
  <c r="I274"/>
  <c r="H274" s="1"/>
  <c r="W274" s="1"/>
  <c r="F274"/>
  <c r="V272"/>
  <c r="M272"/>
  <c r="J272"/>
  <c r="T272" s="1"/>
  <c r="I272"/>
  <c r="H272" s="1"/>
  <c r="F272" s="1"/>
  <c r="V270"/>
  <c r="M270"/>
  <c r="M263" s="1"/>
  <c r="J270"/>
  <c r="T270" s="1"/>
  <c r="I270"/>
  <c r="H270" s="1"/>
  <c r="W270" s="1"/>
  <c r="F270"/>
  <c r="V268"/>
  <c r="J268"/>
  <c r="T268" s="1"/>
  <c r="I268"/>
  <c r="H268" s="1"/>
  <c r="F268" s="1"/>
  <c r="V266"/>
  <c r="T266"/>
  <c r="J266"/>
  <c r="I266"/>
  <c r="H266" s="1"/>
  <c r="F266" s="1"/>
  <c r="F265"/>
  <c r="V264"/>
  <c r="V263" s="1"/>
  <c r="T264"/>
  <c r="J264"/>
  <c r="I264"/>
  <c r="H264" s="1"/>
  <c r="U263"/>
  <c r="S263"/>
  <c r="R263"/>
  <c r="R5" s="1"/>
  <c r="Q263"/>
  <c r="P263"/>
  <c r="O263"/>
  <c r="N263"/>
  <c r="L263"/>
  <c r="J263" s="1"/>
  <c r="G263"/>
  <c r="V254"/>
  <c r="M254"/>
  <c r="J254"/>
  <c r="T254" s="1"/>
  <c r="I254"/>
  <c r="H254" s="1"/>
  <c r="F254" s="1"/>
  <c r="V242"/>
  <c r="M242"/>
  <c r="J242"/>
  <c r="T242" s="1"/>
  <c r="I242"/>
  <c r="H242" s="1"/>
  <c r="F242" s="1"/>
  <c r="V230"/>
  <c r="M230"/>
  <c r="J230"/>
  <c r="T230" s="1"/>
  <c r="I230"/>
  <c r="J220"/>
  <c r="I220"/>
  <c r="H220" s="1"/>
  <c r="W220" s="1"/>
  <c r="V219"/>
  <c r="P219"/>
  <c r="N219"/>
  <c r="M219" s="1"/>
  <c r="J219"/>
  <c r="T219" s="1"/>
  <c r="H219"/>
  <c r="W219" s="1"/>
  <c r="F219"/>
  <c r="V165"/>
  <c r="P165"/>
  <c r="N165"/>
  <c r="M165" s="1"/>
  <c r="J165"/>
  <c r="T165" s="1"/>
  <c r="I165"/>
  <c r="V164"/>
  <c r="V163" s="1"/>
  <c r="P164"/>
  <c r="N164"/>
  <c r="M164"/>
  <c r="J164"/>
  <c r="T164" s="1"/>
  <c r="U163"/>
  <c r="T163"/>
  <c r="S163"/>
  <c r="R163"/>
  <c r="Q163"/>
  <c r="P163"/>
  <c r="O163"/>
  <c r="L163"/>
  <c r="J163"/>
  <c r="G163"/>
  <c r="V158"/>
  <c r="T158"/>
  <c r="M158"/>
  <c r="J158"/>
  <c r="I158"/>
  <c r="H158"/>
  <c r="W158" s="1"/>
  <c r="F158"/>
  <c r="F156"/>
  <c r="F155"/>
  <c r="W154"/>
  <c r="V154"/>
  <c r="P154"/>
  <c r="N154"/>
  <c r="M154"/>
  <c r="J154"/>
  <c r="T154" s="1"/>
  <c r="I154"/>
  <c r="H154"/>
  <c r="F154"/>
  <c r="V153"/>
  <c r="P153"/>
  <c r="N153"/>
  <c r="M153" s="1"/>
  <c r="J153"/>
  <c r="T153" s="1"/>
  <c r="V152"/>
  <c r="T152"/>
  <c r="M152"/>
  <c r="J152"/>
  <c r="H152"/>
  <c r="W152" s="1"/>
  <c r="F152"/>
  <c r="F151"/>
  <c r="V150"/>
  <c r="T150"/>
  <c r="M150"/>
  <c r="J150"/>
  <c r="I150"/>
  <c r="H150" s="1"/>
  <c r="V149"/>
  <c r="T149"/>
  <c r="M149"/>
  <c r="J149"/>
  <c r="H149"/>
  <c r="W149" s="1"/>
  <c r="F149"/>
  <c r="F144"/>
  <c r="F143"/>
  <c r="F142"/>
  <c r="F141"/>
  <c r="F140"/>
  <c r="V139"/>
  <c r="P139"/>
  <c r="N139"/>
  <c r="M139" s="1"/>
  <c r="J139"/>
  <c r="T139" s="1"/>
  <c r="I139"/>
  <c r="H139" s="1"/>
  <c r="F136"/>
  <c r="F135"/>
  <c r="F134"/>
  <c r="F133"/>
  <c r="F132"/>
  <c r="F131"/>
  <c r="F130"/>
  <c r="F129"/>
  <c r="F128"/>
  <c r="F127"/>
  <c r="V126"/>
  <c r="M126"/>
  <c r="J126"/>
  <c r="I126"/>
  <c r="V124"/>
  <c r="M124"/>
  <c r="J124"/>
  <c r="I124"/>
  <c r="W123"/>
  <c r="V123"/>
  <c r="P123"/>
  <c r="N123"/>
  <c r="M123" s="1"/>
  <c r="J123"/>
  <c r="T123" s="1"/>
  <c r="H123"/>
  <c r="F123"/>
  <c r="V122"/>
  <c r="P122"/>
  <c r="N122"/>
  <c r="J122"/>
  <c r="T122" s="1"/>
  <c r="V121"/>
  <c r="P121"/>
  <c r="N121"/>
  <c r="M121"/>
  <c r="J121"/>
  <c r="H121" s="1"/>
  <c r="V120"/>
  <c r="M120"/>
  <c r="J120"/>
  <c r="T120" s="1"/>
  <c r="H120"/>
  <c r="F120" s="1"/>
  <c r="V116"/>
  <c r="T116"/>
  <c r="M116"/>
  <c r="J116"/>
  <c r="I116"/>
  <c r="H116" s="1"/>
  <c r="V115"/>
  <c r="V114" s="1"/>
  <c r="P115"/>
  <c r="N115"/>
  <c r="M115"/>
  <c r="J115"/>
  <c r="H115" s="1"/>
  <c r="U114"/>
  <c r="S114"/>
  <c r="R114"/>
  <c r="Q114"/>
  <c r="O114"/>
  <c r="N114"/>
  <c r="L114"/>
  <c r="J114"/>
  <c r="I114"/>
  <c r="H114" s="1"/>
  <c r="W114" s="1"/>
  <c r="G114"/>
  <c r="V103"/>
  <c r="M103"/>
  <c r="M101" s="1"/>
  <c r="J103"/>
  <c r="I103"/>
  <c r="V101"/>
  <c r="U101"/>
  <c r="S101"/>
  <c r="R101"/>
  <c r="Q101"/>
  <c r="P101"/>
  <c r="O101"/>
  <c r="N101"/>
  <c r="L101"/>
  <c r="K101"/>
  <c r="J101" s="1"/>
  <c r="I101"/>
  <c r="H101" s="1"/>
  <c r="G101"/>
  <c r="E101"/>
  <c r="V79"/>
  <c r="J79"/>
  <c r="T79" s="1"/>
  <c r="I79"/>
  <c r="H79" s="1"/>
  <c r="V78"/>
  <c r="T78"/>
  <c r="J78"/>
  <c r="H78"/>
  <c r="W78" s="1"/>
  <c r="F78"/>
  <c r="V77"/>
  <c r="M77"/>
  <c r="J77"/>
  <c r="H77" s="1"/>
  <c r="F77" s="1"/>
  <c r="V67"/>
  <c r="M67"/>
  <c r="J67"/>
  <c r="T67" s="1"/>
  <c r="I67"/>
  <c r="W65"/>
  <c r="V65"/>
  <c r="I65"/>
  <c r="H65"/>
  <c r="V61"/>
  <c r="M61"/>
  <c r="J61"/>
  <c r="T61" s="1"/>
  <c r="I61"/>
  <c r="H61" s="1"/>
  <c r="F61" s="1"/>
  <c r="V58"/>
  <c r="V55" s="1"/>
  <c r="M58"/>
  <c r="J58"/>
  <c r="T58" s="1"/>
  <c r="I58"/>
  <c r="F57"/>
  <c r="V56"/>
  <c r="T56"/>
  <c r="M56"/>
  <c r="M55" s="1"/>
  <c r="J56"/>
  <c r="I56"/>
  <c r="H56"/>
  <c r="W56" s="1"/>
  <c r="F56"/>
  <c r="U55"/>
  <c r="S55"/>
  <c r="R55"/>
  <c r="Q55"/>
  <c r="P55"/>
  <c r="O55"/>
  <c r="N55"/>
  <c r="L55"/>
  <c r="K55"/>
  <c r="G55"/>
  <c r="E55"/>
  <c r="E5" s="1"/>
  <c r="V46"/>
  <c r="M46"/>
  <c r="J46"/>
  <c r="T46" s="1"/>
  <c r="I46"/>
  <c r="W45"/>
  <c r="V45"/>
  <c r="P45"/>
  <c r="P23" s="1"/>
  <c r="N45"/>
  <c r="M45"/>
  <c r="J45"/>
  <c r="T45" s="1"/>
  <c r="H45"/>
  <c r="F45" s="1"/>
  <c r="W44"/>
  <c r="W43"/>
  <c r="V43"/>
  <c r="W42"/>
  <c r="V42"/>
  <c r="V41"/>
  <c r="P41"/>
  <c r="N41"/>
  <c r="M41"/>
  <c r="J41"/>
  <c r="T41" s="1"/>
  <c r="I41"/>
  <c r="W40"/>
  <c r="V40"/>
  <c r="F40"/>
  <c r="V39"/>
  <c r="M39"/>
  <c r="J39"/>
  <c r="I39"/>
  <c r="H39"/>
  <c r="F39" s="1"/>
  <c r="W38"/>
  <c r="V38"/>
  <c r="F38"/>
  <c r="W37"/>
  <c r="V37"/>
  <c r="F37"/>
  <c r="W36"/>
  <c r="V36"/>
  <c r="F36"/>
  <c r="W35"/>
  <c r="V35"/>
  <c r="F35"/>
  <c r="W34"/>
  <c r="V34"/>
  <c r="F34"/>
  <c r="W33"/>
  <c r="V33"/>
  <c r="F33"/>
  <c r="W32"/>
  <c r="V32"/>
  <c r="F32"/>
  <c r="W31"/>
  <c r="V31"/>
  <c r="F31"/>
  <c r="W30"/>
  <c r="V30"/>
  <c r="F30"/>
  <c r="W29"/>
  <c r="V29"/>
  <c r="F29"/>
  <c r="W28"/>
  <c r="V28"/>
  <c r="F28"/>
  <c r="W27"/>
  <c r="V27"/>
  <c r="F27"/>
  <c r="W26"/>
  <c r="V26"/>
  <c r="F26"/>
  <c r="W25"/>
  <c r="V25"/>
  <c r="F25"/>
  <c r="W24"/>
  <c r="V24"/>
  <c r="P24"/>
  <c r="N24"/>
  <c r="N23" s="1"/>
  <c r="M24"/>
  <c r="J24"/>
  <c r="T24" s="1"/>
  <c r="H24"/>
  <c r="F24"/>
  <c r="U23"/>
  <c r="S23"/>
  <c r="R23"/>
  <c r="Q23"/>
  <c r="O23"/>
  <c r="M23"/>
  <c r="L23"/>
  <c r="K23"/>
  <c r="I23"/>
  <c r="G23"/>
  <c r="E23"/>
  <c r="W21"/>
  <c r="J21"/>
  <c r="H21"/>
  <c r="W19"/>
  <c r="W18"/>
  <c r="W17"/>
  <c r="W16"/>
  <c r="W15"/>
  <c r="W14"/>
  <c r="W13"/>
  <c r="W12"/>
  <c r="W11"/>
  <c r="W10"/>
  <c r="K9"/>
  <c r="J9" s="1"/>
  <c r="H9" s="1"/>
  <c r="W9" s="1"/>
  <c r="P8"/>
  <c r="N8"/>
  <c r="M8" s="1"/>
  <c r="M7" s="1"/>
  <c r="J8"/>
  <c r="H8"/>
  <c r="W8" s="1"/>
  <c r="V7"/>
  <c r="U7"/>
  <c r="U5" s="1"/>
  <c r="T7"/>
  <c r="S7"/>
  <c r="R7"/>
  <c r="P7"/>
  <c r="N7"/>
  <c r="L7"/>
  <c r="K7"/>
  <c r="J7"/>
  <c r="H7" s="1"/>
  <c r="W7" s="1"/>
  <c r="G7"/>
  <c r="Q5"/>
  <c r="L5"/>
  <c r="F101" l="1"/>
  <c r="W101"/>
  <c r="F264"/>
  <c r="W264"/>
  <c r="W139"/>
  <c r="F139"/>
  <c r="T23"/>
  <c r="F116"/>
  <c r="W116"/>
  <c r="F79"/>
  <c r="W79"/>
  <c r="W61"/>
  <c r="W115"/>
  <c r="F115"/>
  <c r="T115"/>
  <c r="W120"/>
  <c r="T126"/>
  <c r="H126"/>
  <c r="W272"/>
  <c r="T492"/>
  <c r="H492"/>
  <c r="K5"/>
  <c r="O5"/>
  <c r="M114"/>
  <c r="W121"/>
  <c r="F121"/>
  <c r="T121"/>
  <c r="W283"/>
  <c r="M305"/>
  <c r="F312"/>
  <c r="W312"/>
  <c r="W316"/>
  <c r="F316"/>
  <c r="T316"/>
  <c r="F365"/>
  <c r="W365"/>
  <c r="T381"/>
  <c r="N498"/>
  <c r="M499"/>
  <c r="H500"/>
  <c r="I498"/>
  <c r="H498" s="1"/>
  <c r="W502"/>
  <c r="F502"/>
  <c r="T502"/>
  <c r="T498" s="1"/>
  <c r="J23"/>
  <c r="H23" s="1"/>
  <c r="H41"/>
  <c r="H58"/>
  <c r="H67"/>
  <c r="T77"/>
  <c r="T55" s="1"/>
  <c r="M122"/>
  <c r="P114"/>
  <c r="P5" s="1"/>
  <c r="Q1" s="1"/>
  <c r="T124"/>
  <c r="H124"/>
  <c r="H230"/>
  <c r="I263"/>
  <c r="H263" s="1"/>
  <c r="W266"/>
  <c r="W268"/>
  <c r="T278"/>
  <c r="H278"/>
  <c r="I305"/>
  <c r="H305" s="1"/>
  <c r="F358"/>
  <c r="V320"/>
  <c r="F489"/>
  <c r="M509"/>
  <c r="W77"/>
  <c r="H307"/>
  <c r="T307"/>
  <c r="T305" s="1"/>
  <c r="W322"/>
  <c r="H320"/>
  <c r="F322"/>
  <c r="W469"/>
  <c r="F469"/>
  <c r="W478"/>
  <c r="S5"/>
  <c r="W39"/>
  <c r="G5"/>
  <c r="V23"/>
  <c r="H46"/>
  <c r="I55"/>
  <c r="H55" s="1"/>
  <c r="J55"/>
  <c r="T103"/>
  <c r="T101" s="1"/>
  <c r="H103"/>
  <c r="F114"/>
  <c r="H122"/>
  <c r="F150"/>
  <c r="W150"/>
  <c r="H153"/>
  <c r="F220"/>
  <c r="W242"/>
  <c r="H306"/>
  <c r="I320"/>
  <c r="H461"/>
  <c r="M469"/>
  <c r="M381" s="1"/>
  <c r="P381"/>
  <c r="T507"/>
  <c r="H507"/>
  <c r="M163"/>
  <c r="W254"/>
  <c r="T263"/>
  <c r="M277"/>
  <c r="H284"/>
  <c r="I277"/>
  <c r="H277" s="1"/>
  <c r="W303"/>
  <c r="W317"/>
  <c r="M320"/>
  <c r="J488"/>
  <c r="J5" s="1"/>
  <c r="T489"/>
  <c r="H495"/>
  <c r="T495"/>
  <c r="N163"/>
  <c r="N5" s="1"/>
  <c r="H165"/>
  <c r="I163"/>
  <c r="H163" s="1"/>
  <c r="T280"/>
  <c r="H296"/>
  <c r="T308"/>
  <c r="H308"/>
  <c r="H318"/>
  <c r="T318"/>
  <c r="P320"/>
  <c r="H356"/>
  <c r="V381"/>
  <c r="I381"/>
  <c r="H381" s="1"/>
  <c r="H451"/>
  <c r="M488"/>
  <c r="V488"/>
  <c r="H164"/>
  <c r="Y21" l="1"/>
  <c r="O1"/>
  <c r="W164"/>
  <c r="F164"/>
  <c r="W103"/>
  <c r="F103"/>
  <c r="W46"/>
  <c r="F46"/>
  <c r="W500"/>
  <c r="F500"/>
  <c r="I5"/>
  <c r="F318"/>
  <c r="W318"/>
  <c r="F284"/>
  <c r="W284"/>
  <c r="V5"/>
  <c r="F278"/>
  <c r="W278"/>
  <c r="W263"/>
  <c r="F263"/>
  <c r="W58"/>
  <c r="F58"/>
  <c r="M498"/>
  <c r="M5" s="1"/>
  <c r="W356"/>
  <c r="F356"/>
  <c r="W308"/>
  <c r="F308"/>
  <c r="W163"/>
  <c r="F163"/>
  <c r="F495"/>
  <c r="W495"/>
  <c r="W507"/>
  <c r="F507"/>
  <c r="F461"/>
  <c r="W461"/>
  <c r="W122"/>
  <c r="F122"/>
  <c r="F307"/>
  <c r="W307"/>
  <c r="T277"/>
  <c r="F230"/>
  <c r="W230"/>
  <c r="W41"/>
  <c r="F41"/>
  <c r="T114"/>
  <c r="T5" s="1"/>
  <c r="W381"/>
  <c r="F381"/>
  <c r="W296"/>
  <c r="F296"/>
  <c r="W277"/>
  <c r="F277"/>
  <c r="F306"/>
  <c r="W306"/>
  <c r="W305"/>
  <c r="F305"/>
  <c r="W67"/>
  <c r="F67"/>
  <c r="F451"/>
  <c r="W451"/>
  <c r="W165"/>
  <c r="F165"/>
  <c r="T488"/>
  <c r="W153"/>
  <c r="F153"/>
  <c r="F55"/>
  <c r="W55"/>
  <c r="W320"/>
  <c r="F320"/>
  <c r="F124"/>
  <c r="W124"/>
  <c r="F23"/>
  <c r="W23"/>
  <c r="W498"/>
  <c r="F498"/>
  <c r="W492"/>
  <c r="F492"/>
  <c r="H488"/>
  <c r="H5" s="1"/>
  <c r="W126"/>
  <c r="F126"/>
  <c r="W5" l="1"/>
  <c r="F5"/>
  <c r="J1"/>
  <c r="Z5"/>
  <c r="AA7"/>
  <c r="I1"/>
  <c r="F488"/>
  <c r="W488"/>
  <c r="Z7" l="1"/>
  <c r="AA5"/>
</calcChain>
</file>

<file path=xl/sharedStrings.xml><?xml version="1.0" encoding="utf-8"?>
<sst xmlns="http://schemas.openxmlformats.org/spreadsheetml/2006/main" count="970" uniqueCount="738">
  <si>
    <t>2021.11.14</t>
  </si>
  <si>
    <t>——</t>
  </si>
  <si>
    <t>李毓华</t>
  </si>
  <si>
    <t>助学助困 情暖江宁</t>
  </si>
  <si>
    <t>0102</t>
  </si>
  <si>
    <t>0103</t>
  </si>
  <si>
    <t>0104</t>
  </si>
  <si>
    <t>爱心助学 情暖溧水</t>
  </si>
  <si>
    <t>0105</t>
  </si>
  <si>
    <t>0301</t>
  </si>
  <si>
    <t>爱心助学 情暖丰县</t>
  </si>
  <si>
    <t>0302</t>
  </si>
  <si>
    <t>爱心助学 情暖沛县</t>
  </si>
  <si>
    <t>江苏大汉建设实业集团有限责任公司</t>
  </si>
  <si>
    <t>0303</t>
  </si>
  <si>
    <t>0304</t>
  </si>
  <si>
    <t>爱心助学 情暖邳州</t>
  </si>
  <si>
    <t>0305</t>
  </si>
  <si>
    <t>助困助学 情暖铜山</t>
  </si>
  <si>
    <t>0307</t>
  </si>
  <si>
    <t>爱心助学 情暖贾汪</t>
  </si>
  <si>
    <t>溧阳市第一糖烟酒有限公司</t>
  </si>
  <si>
    <t>谢爱荣</t>
  </si>
  <si>
    <t>溧阳市经典酒业有限公司</t>
  </si>
  <si>
    <t>江苏苏浙皖边界市场发展有限公司</t>
  </si>
  <si>
    <t>溧阳市老区开发促进会</t>
  </si>
  <si>
    <t>0502</t>
  </si>
  <si>
    <t>0503</t>
  </si>
  <si>
    <t>0504</t>
  </si>
  <si>
    <t>0505</t>
  </si>
  <si>
    <t>关怀城市困境家庭</t>
  </si>
  <si>
    <t>0506</t>
  </si>
  <si>
    <t>大湖爱心助学•凉山行</t>
  </si>
  <si>
    <t>0508</t>
  </si>
  <si>
    <t>0509</t>
  </si>
  <si>
    <t>0510</t>
  </si>
  <si>
    <t>0511</t>
  </si>
  <si>
    <t>爱心助困 情暖吴江</t>
  </si>
  <si>
    <t>0512</t>
  </si>
  <si>
    <t>爱心助困 情暖吴中</t>
  </si>
  <si>
    <t>0513</t>
  </si>
  <si>
    <t>0514</t>
  </si>
  <si>
    <t>助老帮困 情暖姑苏</t>
  </si>
  <si>
    <t>0515</t>
  </si>
  <si>
    <t>携手助老区•如皋行</t>
  </si>
  <si>
    <t>0603</t>
  </si>
  <si>
    <t>0604</t>
  </si>
  <si>
    <t>0605</t>
  </si>
  <si>
    <t>0606</t>
  </si>
  <si>
    <t>0607</t>
  </si>
  <si>
    <t>0702</t>
  </si>
  <si>
    <t>0703</t>
  </si>
  <si>
    <t>0704</t>
  </si>
  <si>
    <t>0705</t>
  </si>
  <si>
    <t>0706</t>
  </si>
  <si>
    <t>0801</t>
  </si>
  <si>
    <t>0802</t>
  </si>
  <si>
    <t>0803</t>
  </si>
  <si>
    <t>0804</t>
  </si>
  <si>
    <t>0805</t>
  </si>
  <si>
    <t>0806</t>
  </si>
  <si>
    <t>淮安市淮安区流均镇人民政府</t>
  </si>
  <si>
    <t>0807</t>
  </si>
  <si>
    <t>0902</t>
  </si>
  <si>
    <t>爱心助学 情暖滨海</t>
  </si>
  <si>
    <t>0903</t>
  </si>
  <si>
    <t>爱心助学 情暖阜宁</t>
  </si>
  <si>
    <t>0904</t>
  </si>
  <si>
    <t>爱心助困 情暖射阳</t>
  </si>
  <si>
    <t>0906</t>
  </si>
  <si>
    <t>助学助困 情暖大丰</t>
  </si>
  <si>
    <t>助残助困 情暖东台</t>
  </si>
  <si>
    <t>0908</t>
  </si>
  <si>
    <t>产业帮扶 情暖盐都</t>
  </si>
  <si>
    <t>1002</t>
  </si>
  <si>
    <t>助学助困 情暖宝应</t>
  </si>
  <si>
    <t>1003</t>
  </si>
  <si>
    <t>助学助困 情暖仪征</t>
  </si>
  <si>
    <t>1004</t>
  </si>
  <si>
    <t>1005</t>
  </si>
  <si>
    <t>1006</t>
  </si>
  <si>
    <t>1007</t>
  </si>
  <si>
    <t>1008</t>
  </si>
  <si>
    <t>刘海</t>
  </si>
  <si>
    <t>1103</t>
  </si>
  <si>
    <t>1104</t>
  </si>
  <si>
    <t>1105</t>
  </si>
  <si>
    <t>1106</t>
  </si>
  <si>
    <t>援建“韦岗战斗”微课堂</t>
  </si>
  <si>
    <t>1107</t>
  </si>
  <si>
    <t>1108</t>
  </si>
  <si>
    <t>1206</t>
  </si>
  <si>
    <t>1306</t>
  </si>
  <si>
    <t>1307</t>
  </si>
  <si>
    <t>附件1</t>
    <phoneticPr fontId="41" type="noConversion"/>
  </si>
  <si>
    <t>序
号</t>
    <phoneticPr fontId="41" type="noConversion"/>
  </si>
  <si>
    <t>日期</t>
    <phoneticPr fontId="41" type="noConversion"/>
  </si>
  <si>
    <t>执行机构</t>
    <phoneticPr fontId="41" type="noConversion"/>
  </si>
  <si>
    <t>项目名程</t>
    <phoneticPr fontId="41" type="noConversion"/>
  </si>
  <si>
    <t>备案目标</t>
    <phoneticPr fontId="41" type="noConversion"/>
  </si>
  <si>
    <t>达标率</t>
    <phoneticPr fontId="41" type="noConversion"/>
  </si>
  <si>
    <t>捐款
人/次</t>
    <phoneticPr fontId="41" type="noConversion"/>
  </si>
  <si>
    <t>捐赠合计</t>
    <phoneticPr fontId="41" type="noConversion"/>
  </si>
  <si>
    <t>线下捐赠</t>
    <phoneticPr fontId="41" type="noConversion"/>
  </si>
  <si>
    <t>线上捐赠</t>
    <phoneticPr fontId="41" type="noConversion"/>
  </si>
  <si>
    <t>线上众筹</t>
    <phoneticPr fontId="41" type="noConversion"/>
  </si>
  <si>
    <t>配捐合计</t>
    <phoneticPr fontId="41" type="noConversion"/>
  </si>
  <si>
    <t>腾讯配捐</t>
    <phoneticPr fontId="41" type="noConversion"/>
  </si>
  <si>
    <t>管理费（原）</t>
    <phoneticPr fontId="41" type="noConversion"/>
  </si>
  <si>
    <t>善款结余</t>
    <phoneticPr fontId="41" type="noConversion"/>
  </si>
  <si>
    <t>备注</t>
    <phoneticPr fontId="41" type="noConversion"/>
  </si>
  <si>
    <t>公益宝</t>
    <phoneticPr fontId="41" type="noConversion"/>
  </si>
  <si>
    <t>腾讯筹款</t>
    <phoneticPr fontId="41" type="noConversion"/>
  </si>
  <si>
    <t>2021.11.14</t>
    <phoneticPr fontId="41" type="noConversion"/>
  </si>
  <si>
    <t>省扶贫
“三会”系统</t>
    <phoneticPr fontId="41" type="noConversion"/>
  </si>
  <si>
    <t>携手助老区</t>
    <phoneticPr fontId="41" type="noConversion"/>
  </si>
  <si>
    <t>　　省扶贫“三会”，“1+2”个项目。</t>
    <phoneticPr fontId="41" type="noConversion"/>
  </si>
  <si>
    <t>32</t>
    <phoneticPr fontId="41" type="noConversion"/>
  </si>
  <si>
    <t>省本级合计</t>
    <phoneticPr fontId="41" type="noConversion"/>
  </si>
  <si>
    <t>Ⅰ</t>
    <phoneticPr fontId="41" type="noConversion"/>
  </si>
  <si>
    <t>省扶贫基金会</t>
    <phoneticPr fontId="41" type="noConversion"/>
  </si>
  <si>
    <t>携手助老区</t>
    <phoneticPr fontId="41" type="noConversion"/>
  </si>
  <si>
    <t>84</t>
    <phoneticPr fontId="41" type="noConversion"/>
  </si>
  <si>
    <t>零散捐赠</t>
    <phoneticPr fontId="41" type="noConversion"/>
  </si>
  <si>
    <t>南京行</t>
    <phoneticPr fontId="41" type="noConversion"/>
  </si>
  <si>
    <t>徐州行</t>
    <phoneticPr fontId="41" type="noConversion"/>
  </si>
  <si>
    <t>溧阳行</t>
    <phoneticPr fontId="41" type="noConversion"/>
  </si>
  <si>
    <t>苏州行</t>
    <phoneticPr fontId="41" type="noConversion"/>
  </si>
  <si>
    <t>南通行</t>
    <phoneticPr fontId="41" type="noConversion"/>
  </si>
  <si>
    <t>淮安行</t>
    <phoneticPr fontId="41" type="noConversion"/>
  </si>
  <si>
    <t>扬州行</t>
    <phoneticPr fontId="41" type="noConversion"/>
  </si>
  <si>
    <t>镇江行</t>
    <phoneticPr fontId="41" type="noConversion"/>
  </si>
  <si>
    <t>泰州行</t>
    <phoneticPr fontId="41" type="noConversion"/>
  </si>
  <si>
    <t>宿迁行</t>
    <phoneticPr fontId="41" type="noConversion"/>
  </si>
  <si>
    <t>Ⅱ</t>
    <phoneticPr fontId="41" type="noConversion"/>
  </si>
  <si>
    <t>省扶贫基金会</t>
    <phoneticPr fontId="41" type="noConversion"/>
  </si>
  <si>
    <t>“滴水•筑梦”助学工程</t>
    <phoneticPr fontId="41" type="noConversion"/>
  </si>
  <si>
    <t>　　南京市扶贫“三会”，5县（区、市）、5县区参与、5个子项目。</t>
    <phoneticPr fontId="41" type="noConversion"/>
  </si>
  <si>
    <t>01</t>
    <phoneticPr fontId="41" type="noConversion"/>
  </si>
  <si>
    <t>南京市合计</t>
    <phoneticPr fontId="41" type="noConversion"/>
  </si>
  <si>
    <r>
      <t>携手助老区</t>
    </r>
    <r>
      <rPr>
        <b/>
        <sz val="12"/>
        <color theme="1"/>
        <rFont val="宋体"/>
        <family val="3"/>
        <charset val="134"/>
      </rPr>
      <t>•</t>
    </r>
    <r>
      <rPr>
        <b/>
        <sz val="12"/>
        <color theme="1"/>
        <rFont val="微软雅黑"/>
        <family val="2"/>
        <charset val="134"/>
      </rPr>
      <t>南京行</t>
    </r>
    <phoneticPr fontId="41" type="noConversion"/>
  </si>
  <si>
    <t>0101</t>
    <phoneticPr fontId="41" type="noConversion"/>
  </si>
  <si>
    <t>江宁区扶贫基金会</t>
    <phoneticPr fontId="41" type="noConversion"/>
  </si>
  <si>
    <t>增加激励费2万元</t>
    <phoneticPr fontId="41" type="noConversion"/>
  </si>
  <si>
    <t>南京金东亚办公设备有限公司</t>
    <phoneticPr fontId="41" type="noConversion"/>
  </si>
  <si>
    <t>南京西龙蔬菜专业合作社</t>
    <phoneticPr fontId="41" type="noConversion"/>
  </si>
  <si>
    <t>南京翔微电子有限公司</t>
    <phoneticPr fontId="41" type="noConversion"/>
  </si>
  <si>
    <t>南京景业百果园旅游发展有限公司</t>
    <phoneticPr fontId="41" type="noConversion"/>
  </si>
  <si>
    <t>江苏龙冠新型材料科技有限公司</t>
    <phoneticPr fontId="41" type="noConversion"/>
  </si>
  <si>
    <t>南京润盛建设集团路面工程有限公司</t>
    <phoneticPr fontId="41" type="noConversion"/>
  </si>
  <si>
    <t xml:space="preserve"> 
南京友西科技集团股份有限公司</t>
    <phoneticPr fontId="41" type="noConversion"/>
  </si>
  <si>
    <t xml:space="preserve">
南京巨诚民宿文化旅游开发有限公司</t>
    <phoneticPr fontId="41" type="noConversion"/>
  </si>
  <si>
    <t xml:space="preserve"> 
南京神克隆科技有限公司</t>
    <phoneticPr fontId="41" type="noConversion"/>
  </si>
  <si>
    <t xml:space="preserve"> 
南京天运塑业有限公司</t>
    <phoneticPr fontId="41" type="noConversion"/>
  </si>
  <si>
    <t>南京斌强新型建材有限公司</t>
    <phoneticPr fontId="41" type="noConversion"/>
  </si>
  <si>
    <t>南京青龙线缆材料有限公司</t>
    <phoneticPr fontId="41" type="noConversion"/>
  </si>
  <si>
    <t xml:space="preserve"> 
南京三超新材料股份有限公司</t>
    <phoneticPr fontId="41" type="noConversion"/>
  </si>
  <si>
    <t>环宇集团（南京）有限公司</t>
    <phoneticPr fontId="41" type="noConversion"/>
  </si>
  <si>
    <t>浦口区扶贫基金会</t>
    <phoneticPr fontId="41" type="noConversion"/>
  </si>
  <si>
    <t>助残助困 情暖浦口</t>
    <phoneticPr fontId="41" type="noConversion"/>
  </si>
  <si>
    <t>江苏国兴金投资产管理有限公司</t>
    <phoneticPr fontId="41" type="noConversion"/>
  </si>
  <si>
    <t>六合区扶贫基金会</t>
    <phoneticPr fontId="41" type="noConversion"/>
  </si>
  <si>
    <t>助学助困 情暖六合</t>
    <phoneticPr fontId="41" type="noConversion"/>
  </si>
  <si>
    <t>南京钢铁集团冶金铸造有限公司</t>
    <phoneticPr fontId="41" type="noConversion"/>
  </si>
  <si>
    <t>南京凯思特玩具有限责任公司</t>
    <phoneticPr fontId="41" type="noConversion"/>
  </si>
  <si>
    <t>江苏科纳暖通工程有限公司</t>
    <phoneticPr fontId="41" type="noConversion"/>
  </si>
  <si>
    <t>溧水区扶贫基金会</t>
    <phoneticPr fontId="41" type="noConversion"/>
  </si>
  <si>
    <t>高淳区扶贫基金会</t>
    <phoneticPr fontId="41" type="noConversion"/>
  </si>
  <si>
    <t>爱心助学 情暖高淳</t>
    <phoneticPr fontId="41" type="noConversion"/>
  </si>
  <si>
    <t>南京双富置业有限公司</t>
    <phoneticPr fontId="41" type="noConversion"/>
  </si>
  <si>
    <t>南京百阳垦生物技术有限责任公司</t>
    <phoneticPr fontId="41" type="noConversion"/>
  </si>
  <si>
    <t>南京六建建设集团有限公司</t>
    <phoneticPr fontId="41" type="noConversion"/>
  </si>
  <si>
    <t xml:space="preserve"> 
红宝丽集团股份有限公司</t>
    <phoneticPr fontId="41" type="noConversion"/>
  </si>
  <si>
    <t>江苏高淳陶瓷股份有限公司</t>
    <phoneticPr fontId="41" type="noConversion"/>
  </si>
  <si>
    <t>　　无锡市扶贫“两会”，6县（区、市）全部参与冠名基金项目。</t>
    <phoneticPr fontId="41" type="noConversion"/>
  </si>
  <si>
    <t>02</t>
    <phoneticPr fontId="41" type="noConversion"/>
  </si>
  <si>
    <t>无锡市合计</t>
    <phoneticPr fontId="41" type="noConversion"/>
  </si>
  <si>
    <t>见冠名基金项目</t>
    <phoneticPr fontId="41" type="noConversion"/>
  </si>
  <si>
    <t>　　徐州市扶贫“两会”，7县（区、市）、6县区参与、7个子项目。</t>
    <phoneticPr fontId="41" type="noConversion"/>
  </si>
  <si>
    <t>03</t>
    <phoneticPr fontId="41" type="noConversion"/>
  </si>
  <si>
    <t>徐州市合计</t>
    <phoneticPr fontId="41" type="noConversion"/>
  </si>
  <si>
    <r>
      <t>携手助老区</t>
    </r>
    <r>
      <rPr>
        <b/>
        <sz val="11"/>
        <color theme="1"/>
        <rFont val="宋体"/>
        <family val="3"/>
        <charset val="134"/>
      </rPr>
      <t>•</t>
    </r>
    <r>
      <rPr>
        <b/>
        <sz val="11"/>
        <color theme="1"/>
        <rFont val="微软雅黑"/>
        <family val="2"/>
        <charset val="134"/>
      </rPr>
      <t>徐州行</t>
    </r>
    <phoneticPr fontId="41" type="noConversion"/>
  </si>
  <si>
    <t>0300</t>
    <phoneticPr fontId="41" type="noConversion"/>
  </si>
  <si>
    <t>徐州市扶贫开发协会</t>
    <phoneticPr fontId="41" type="noConversion"/>
  </si>
  <si>
    <t>爱心助学 情暖徐州</t>
    <phoneticPr fontId="41" type="noConversion"/>
  </si>
  <si>
    <t>兴业银行股份有限公司</t>
    <phoneticPr fontId="41" type="noConversion"/>
  </si>
  <si>
    <t>丰县扶贫开发协会</t>
    <phoneticPr fontId="41" type="noConversion"/>
  </si>
  <si>
    <t>徐州江煤科技有限公司</t>
    <phoneticPr fontId="41" type="noConversion"/>
  </si>
  <si>
    <t>2022 年11月17日</t>
    <phoneticPr fontId="41" type="noConversion"/>
  </si>
  <si>
    <t>沛县扶贫开发协会</t>
    <phoneticPr fontId="41" type="noConversion"/>
  </si>
  <si>
    <t>协议备注</t>
    <phoneticPr fontId="41" type="noConversion"/>
  </si>
  <si>
    <t>徐州市华晟纺织有限公司</t>
    <phoneticPr fontId="41" type="noConversion"/>
  </si>
  <si>
    <t>江苏帝帮建设工程有限公司</t>
    <phoneticPr fontId="41" type="noConversion"/>
  </si>
  <si>
    <t>睢宁县扶贫开发协会</t>
    <phoneticPr fontId="41" type="noConversion"/>
  </si>
  <si>
    <t>爱心助困 情暖睢宁</t>
    <phoneticPr fontId="41" type="noConversion"/>
  </si>
  <si>
    <t>1</t>
    <phoneticPr fontId="41" type="noConversion"/>
  </si>
  <si>
    <t xml:space="preserve"> 
江苏惠利隆塑业集团有限公司</t>
    <phoneticPr fontId="41" type="noConversion"/>
  </si>
  <si>
    <t>邳州市扶贫开发协会</t>
    <phoneticPr fontId="41" type="noConversion"/>
  </si>
  <si>
    <t>协议备注</t>
    <phoneticPr fontId="41" type="noConversion"/>
  </si>
  <si>
    <t>邳州市交通控股集团有限公司</t>
    <phoneticPr fontId="41" type="noConversion"/>
  </si>
  <si>
    <t>徐州莱亚进出口贸易有限公司</t>
    <phoneticPr fontId="41" type="noConversion"/>
  </si>
  <si>
    <t>徐州东方房地产集团有限公司</t>
    <phoneticPr fontId="41" type="noConversion"/>
  </si>
  <si>
    <t xml:space="preserve"> 
邳州欢乐买农产品批发市场有限公司</t>
    <phoneticPr fontId="41" type="noConversion"/>
  </si>
  <si>
    <t>江苏润城资产经营集团有限公司</t>
    <phoneticPr fontId="41" type="noConversion"/>
  </si>
  <si>
    <t>江苏新春兴再生资源有限责任公司</t>
    <phoneticPr fontId="41" type="noConversion"/>
  </si>
  <si>
    <t>江苏德鲁尼智能家居有限公司</t>
    <phoneticPr fontId="41" type="noConversion"/>
  </si>
  <si>
    <t>徐州海天石化有限公司</t>
    <phoneticPr fontId="41" type="noConversion"/>
  </si>
  <si>
    <t>江苏大力神管柱有限公司</t>
    <phoneticPr fontId="41" type="noConversion"/>
  </si>
  <si>
    <t>新沂市扶贫开发协会</t>
    <phoneticPr fontId="41" type="noConversion"/>
  </si>
  <si>
    <t>关爱孤贫女童第三季</t>
    <phoneticPr fontId="41" type="noConversion"/>
  </si>
  <si>
    <t>0306</t>
    <phoneticPr fontId="41" type="noConversion"/>
  </si>
  <si>
    <t>铜山区扶贫开发协会</t>
    <phoneticPr fontId="41" type="noConversion"/>
  </si>
  <si>
    <t>贾汪区扶贫开发协会</t>
    <phoneticPr fontId="41" type="noConversion"/>
  </si>
  <si>
    <t>徐州市贾汪区龙翔新型建材有限公司</t>
    <phoneticPr fontId="41" type="noConversion"/>
  </si>
  <si>
    <t>江苏嘉利精细化工有限公司</t>
    <phoneticPr fontId="41" type="noConversion"/>
  </si>
  <si>
    <t>徐州钛白化工有限责任公司</t>
    <phoneticPr fontId="41" type="noConversion"/>
  </si>
  <si>
    <t xml:space="preserve"> 
江苏鑫恒昇机械科技有限公司</t>
    <phoneticPr fontId="41" type="noConversion"/>
  </si>
  <si>
    <t xml:space="preserve"> 
江苏徐耐新材料科技股份有限公司</t>
    <phoneticPr fontId="41" type="noConversion"/>
  </si>
  <si>
    <t>徐州徐轮橡胶有限公司</t>
    <phoneticPr fontId="41" type="noConversion"/>
  </si>
  <si>
    <t xml:space="preserve"> 
江苏恒世食品科技有限公司</t>
    <phoneticPr fontId="41" type="noConversion"/>
  </si>
  <si>
    <t>徐州陆盾机械制造有限公司</t>
    <phoneticPr fontId="41" type="noConversion"/>
  </si>
  <si>
    <t>江苏诺恩作物科学股份有限公司</t>
    <phoneticPr fontId="41" type="noConversion"/>
  </si>
  <si>
    <t xml:space="preserve">
徐州市慈善总会</t>
    <phoneticPr fontId="41" type="noConversion"/>
  </si>
  <si>
    <t>徐州第二煤矿机械有限责任公司</t>
    <phoneticPr fontId="41" type="noConversion"/>
  </si>
  <si>
    <t>江苏长达交通材料有限公司</t>
    <phoneticPr fontId="41" type="noConversion"/>
  </si>
  <si>
    <t>江苏凯乐金属科技有限公司</t>
    <phoneticPr fontId="41" type="noConversion"/>
  </si>
  <si>
    <t>徐州诺特化工有限公司</t>
    <phoneticPr fontId="41" type="noConversion"/>
  </si>
  <si>
    <t>徐州达一重锻科技有限公司</t>
    <phoneticPr fontId="41" type="noConversion"/>
  </si>
  <si>
    <t>徐州永利精细化工有限公司</t>
    <phoneticPr fontId="41" type="noConversion"/>
  </si>
  <si>
    <t>徐州江海源精细化工有限公司</t>
    <phoneticPr fontId="41" type="noConversion"/>
  </si>
  <si>
    <t>江苏德瑞赛尔电气有限公司</t>
    <phoneticPr fontId="41" type="noConversion"/>
  </si>
  <si>
    <t>徐州天仁娇农业科技有限公司</t>
    <phoneticPr fontId="41" type="noConversion"/>
  </si>
  <si>
    <t>徐州广宇建筑工程有限公司</t>
    <phoneticPr fontId="41" type="noConversion"/>
  </si>
  <si>
    <t>　　常州市扶贫“两会”，4县（区、市），1县区参与、1个项目（2县区参与冠名基金项目）。</t>
    <phoneticPr fontId="41" type="noConversion"/>
  </si>
  <si>
    <t>04</t>
    <phoneticPr fontId="41" type="noConversion"/>
  </si>
  <si>
    <t>常州市合计</t>
    <phoneticPr fontId="41" type="noConversion"/>
  </si>
  <si>
    <t>——</t>
    <phoneticPr fontId="41" type="noConversion"/>
  </si>
  <si>
    <t>0401</t>
    <phoneticPr fontId="41" type="noConversion"/>
  </si>
  <si>
    <t>金坛区老促会</t>
    <phoneticPr fontId="41" type="noConversion"/>
  </si>
  <si>
    <t>见冠名基金项目明细</t>
    <phoneticPr fontId="41" type="noConversion"/>
  </si>
  <si>
    <t>0402</t>
    <phoneticPr fontId="41" type="noConversion"/>
  </si>
  <si>
    <t>溧阳市老促会</t>
    <phoneticPr fontId="41" type="noConversion"/>
  </si>
  <si>
    <t>携手助老区•溧阳行</t>
    <phoneticPr fontId="41" type="noConversion"/>
  </si>
  <si>
    <t>中国共产党溧阳市委员会党校（本级）</t>
    <phoneticPr fontId="41" type="noConversion"/>
  </si>
  <si>
    <t>溧阳市木兰拳健身运动协会</t>
    <phoneticPr fontId="41" type="noConversion"/>
  </si>
  <si>
    <t>0403</t>
    <phoneticPr fontId="41" type="noConversion"/>
  </si>
  <si>
    <t>武进区老促会</t>
    <phoneticPr fontId="41" type="noConversion"/>
  </si>
  <si>
    <t>0404</t>
    <phoneticPr fontId="41" type="noConversion"/>
  </si>
  <si>
    <t>新北区老促会</t>
    <phoneticPr fontId="41" type="noConversion"/>
  </si>
  <si>
    <t>　　苏州市扶贫“三会”，8县（区、市）、8县区+1功能区+6志愿者团队参与、15个子项目。</t>
    <phoneticPr fontId="41" type="noConversion"/>
  </si>
  <si>
    <t>05</t>
    <phoneticPr fontId="41" type="noConversion"/>
  </si>
  <si>
    <t>苏州市合计</t>
    <phoneticPr fontId="41" type="noConversion"/>
  </si>
  <si>
    <r>
      <rPr>
        <b/>
        <sz val="12"/>
        <color theme="1"/>
        <rFont val="宋体"/>
        <family val="3"/>
        <charset val="134"/>
      </rPr>
      <t>乡村振兴•</t>
    </r>
    <r>
      <rPr>
        <b/>
        <sz val="12"/>
        <color theme="1"/>
        <rFont val="微软雅黑"/>
        <family val="2"/>
        <charset val="134"/>
      </rPr>
      <t>苏州行</t>
    </r>
    <phoneticPr fontId="41" type="noConversion"/>
  </si>
  <si>
    <t>0501</t>
    <phoneticPr fontId="41" type="noConversion"/>
  </si>
  <si>
    <t>苏州市+衣加衣团队</t>
    <phoneticPr fontId="41" type="noConversion"/>
  </si>
  <si>
    <t>“苏心相伴”小药箱</t>
    <phoneticPr fontId="41" type="noConversion"/>
  </si>
  <si>
    <t>341</t>
    <phoneticPr fontId="41" type="noConversion"/>
  </si>
  <si>
    <t>苏州市+苏应院团队</t>
    <phoneticPr fontId="41" type="noConversion"/>
  </si>
  <si>
    <t>爱心助学 情暖苏应</t>
    <phoneticPr fontId="41" type="noConversion"/>
  </si>
  <si>
    <t>徐水花</t>
    <phoneticPr fontId="41" type="noConversion"/>
  </si>
  <si>
    <t>张家港锦荷医疗科技有限公司</t>
    <phoneticPr fontId="41" type="noConversion"/>
  </si>
  <si>
    <t>周超逸</t>
    <phoneticPr fontId="41" type="noConversion"/>
  </si>
  <si>
    <t>苏州市+福苗团队</t>
    <phoneticPr fontId="41" type="noConversion"/>
  </si>
  <si>
    <t>福苗助学 情暖贵州</t>
    <phoneticPr fontId="41" type="noConversion"/>
  </si>
  <si>
    <t>苏州市+黎民团队</t>
    <phoneticPr fontId="41" type="noConversion"/>
  </si>
  <si>
    <t>健康公益 情暖苏州</t>
    <phoneticPr fontId="41" type="noConversion"/>
  </si>
  <si>
    <t>苏州市+纸头号团队</t>
    <phoneticPr fontId="41" type="noConversion"/>
  </si>
  <si>
    <t>苏州市+大湖团队</t>
    <phoneticPr fontId="41" type="noConversion"/>
  </si>
  <si>
    <t>0507</t>
    <phoneticPr fontId="41" type="noConversion"/>
  </si>
  <si>
    <t>张家港市老促会</t>
    <phoneticPr fontId="41" type="noConversion"/>
  </si>
  <si>
    <t>传承红色文化 情暖古韵东港</t>
    <phoneticPr fontId="41" type="noConversion"/>
  </si>
  <si>
    <t>张家港市南丰镇东港村股份经济合作社</t>
    <phoneticPr fontId="41" type="noConversion"/>
  </si>
  <si>
    <t>常熟市老促会</t>
    <phoneticPr fontId="41" type="noConversion"/>
  </si>
  <si>
    <t>爱心助困 情暖常熟</t>
    <phoneticPr fontId="41" type="noConversion"/>
  </si>
  <si>
    <t>常熟市杰扬塑料助剂厂</t>
    <phoneticPr fontId="41" type="noConversion"/>
  </si>
  <si>
    <t>王爱琴</t>
    <phoneticPr fontId="41" type="noConversion"/>
  </si>
  <si>
    <t>常熟市尚湖镇鸿昌商业设备厂</t>
    <phoneticPr fontId="41" type="noConversion"/>
  </si>
  <si>
    <t>苏州市第三建筑工程有限公司</t>
    <phoneticPr fontId="41" type="noConversion"/>
  </si>
  <si>
    <t>苏州建鑫建设集团有限公司</t>
    <phoneticPr fontId="41" type="noConversion"/>
  </si>
  <si>
    <t>苏州工业园区科特建筑装饰有限公司</t>
    <phoneticPr fontId="41" type="noConversion"/>
  </si>
  <si>
    <t>苏州金都投资有限公司</t>
    <phoneticPr fontId="41" type="noConversion"/>
  </si>
  <si>
    <t>苏州巴洛克建筑装饰工程有限公司</t>
    <phoneticPr fontId="41" type="noConversion"/>
  </si>
  <si>
    <t>苏州市真龙房地产开发有限公司</t>
    <phoneticPr fontId="41" type="noConversion"/>
  </si>
  <si>
    <t>常熟亿能玻璃科技有限公司</t>
    <phoneticPr fontId="41" type="noConversion"/>
  </si>
  <si>
    <t xml:space="preserve"> 
常熟市货架商会</t>
    <phoneticPr fontId="41" type="noConversion"/>
  </si>
  <si>
    <t>中国银行苏州分行</t>
    <phoneticPr fontId="41" type="noConversion"/>
  </si>
  <si>
    <t>太仓市老促会</t>
    <phoneticPr fontId="41" type="noConversion"/>
  </si>
  <si>
    <t>助学助困 情暖太仓</t>
    <phoneticPr fontId="41" type="noConversion"/>
  </si>
  <si>
    <t>太仓月松模具制造有限公司</t>
    <phoneticPr fontId="41" type="noConversion"/>
  </si>
  <si>
    <t xml:space="preserve"> 
太仓市双益化工防腐设备有限公司</t>
    <phoneticPr fontId="41" type="noConversion"/>
  </si>
  <si>
    <t>太仓市沙溪镇直塘商会</t>
    <phoneticPr fontId="41" type="noConversion"/>
  </si>
  <si>
    <t>苏州展峰制冷科技有限公司</t>
    <phoneticPr fontId="41" type="noConversion"/>
  </si>
  <si>
    <t>太仓荣坤粮油有限公司</t>
    <phoneticPr fontId="41" type="noConversion"/>
  </si>
  <si>
    <t>太仓德丰五金制品有限公司</t>
    <phoneticPr fontId="41" type="noConversion"/>
  </si>
  <si>
    <t>瑞刚精密模具材料（江苏）有限公司</t>
    <phoneticPr fontId="41" type="noConversion"/>
  </si>
  <si>
    <t>亿鸿环保机械（苏州）有限公司</t>
    <phoneticPr fontId="41" type="noConversion"/>
  </si>
  <si>
    <t>东吴人寿保险股份有限公司</t>
    <phoneticPr fontId="41" type="noConversion"/>
  </si>
  <si>
    <t>昆山市老促会</t>
    <phoneticPr fontId="41" type="noConversion"/>
  </si>
  <si>
    <t>爱心助困 情暖昆山</t>
    <phoneticPr fontId="41" type="noConversion"/>
  </si>
  <si>
    <t>吴江市老促会</t>
    <phoneticPr fontId="41" type="noConversion"/>
  </si>
  <si>
    <t>苏州市吴江区震泽镇齐心村村民委员会</t>
    <phoneticPr fontId="41" type="noConversion"/>
  </si>
  <si>
    <t>吴中市老促会</t>
    <phoneticPr fontId="41" type="noConversion"/>
  </si>
  <si>
    <t>相城区老促会</t>
    <phoneticPr fontId="41" type="noConversion"/>
  </si>
  <si>
    <t>善行花开 红色永传</t>
    <phoneticPr fontId="41" type="noConversion"/>
  </si>
  <si>
    <r>
      <t>姑苏</t>
    </r>
    <r>
      <rPr>
        <sz val="12"/>
        <color theme="1"/>
        <rFont val="微软雅黑"/>
        <family val="2"/>
        <charset val="134"/>
      </rPr>
      <t>区老促会</t>
    </r>
    <phoneticPr fontId="41" type="noConversion"/>
  </si>
  <si>
    <t>上海豫园旅游商城苏州公司</t>
    <phoneticPr fontId="41" type="noConversion"/>
  </si>
  <si>
    <t>苏州市姑苏区慈善基金会</t>
    <phoneticPr fontId="41" type="noConversion"/>
  </si>
  <si>
    <t>苏州市拥福商贸有限公司</t>
    <phoneticPr fontId="41" type="noConversion"/>
  </si>
  <si>
    <t>苏州市高新区</t>
    <phoneticPr fontId="41" type="noConversion"/>
  </si>
  <si>
    <t>强村富民 善行高新（虎丘）</t>
    <phoneticPr fontId="41" type="noConversion"/>
  </si>
  <si>
    <t>苏州同源创业投资管理有限公司</t>
    <phoneticPr fontId="41" type="noConversion"/>
  </si>
  <si>
    <t>北京启沃博观投资管理合伙企业（有限合伙）</t>
    <phoneticPr fontId="41" type="noConversion"/>
  </si>
  <si>
    <t>深圳市聚合资本有限公司</t>
    <phoneticPr fontId="41" type="noConversion"/>
  </si>
  <si>
    <t>　　南通市扶贫“三会”，7县（市）、7县区参与、7个子项目。</t>
    <phoneticPr fontId="41" type="noConversion"/>
  </si>
  <si>
    <t>06</t>
    <phoneticPr fontId="41" type="noConversion"/>
  </si>
  <si>
    <t>南通市合计</t>
    <phoneticPr fontId="41" type="noConversion"/>
  </si>
  <si>
    <r>
      <t>携手助老区</t>
    </r>
    <r>
      <rPr>
        <b/>
        <sz val="12"/>
        <color theme="1"/>
        <rFont val="宋体"/>
        <family val="3"/>
        <charset val="134"/>
      </rPr>
      <t>•</t>
    </r>
    <r>
      <rPr>
        <b/>
        <sz val="12"/>
        <color theme="1"/>
        <rFont val="微软雅黑"/>
        <family val="2"/>
        <charset val="134"/>
      </rPr>
      <t>南通行</t>
    </r>
    <phoneticPr fontId="41" type="noConversion"/>
  </si>
  <si>
    <t>0601</t>
    <phoneticPr fontId="41" type="noConversion"/>
  </si>
  <si>
    <t>海安市扶贫开发协会</t>
    <phoneticPr fontId="41" type="noConversion"/>
  </si>
  <si>
    <t>助医助困 情暖海安</t>
    <phoneticPr fontId="41" type="noConversion"/>
  </si>
  <si>
    <t>0602</t>
    <phoneticPr fontId="41" type="noConversion"/>
  </si>
  <si>
    <t>如皋市扶贫开发协会</t>
    <phoneticPr fontId="41" type="noConversion"/>
  </si>
  <si>
    <t>如皋市教育局</t>
    <phoneticPr fontId="41" type="noConversion"/>
  </si>
  <si>
    <t>如皋交通产业集团有限公司</t>
    <phoneticPr fontId="41" type="noConversion"/>
  </si>
  <si>
    <t>如皋洲源稻米专业合作社</t>
    <phoneticPr fontId="41" type="noConversion"/>
  </si>
  <si>
    <t>南通永成工业自动化有限公司</t>
    <phoneticPr fontId="41" type="noConversion"/>
  </si>
  <si>
    <t>江苏省如皋高新技术产业开发区财政和资产管理局</t>
    <phoneticPr fontId="41" type="noConversion"/>
  </si>
  <si>
    <t xml:space="preserve"> 
江苏省如皋高新技术产业开发区财政和资产管理局</t>
    <phoneticPr fontId="41" type="noConversion"/>
  </si>
  <si>
    <t>吴海鹏</t>
    <phoneticPr fontId="41" type="noConversion"/>
  </si>
  <si>
    <t>郑梦龙</t>
    <phoneticPr fontId="41" type="noConversion"/>
  </si>
  <si>
    <t>南通恒强织造有限公司</t>
    <phoneticPr fontId="41" type="noConversion"/>
  </si>
  <si>
    <t>如皋市鑫润纺织有限公司</t>
    <phoneticPr fontId="41" type="noConversion"/>
  </si>
  <si>
    <t>如皋万富粮食加工厂</t>
    <phoneticPr fontId="41" type="noConversion"/>
  </si>
  <si>
    <t>高新兵</t>
    <phoneticPr fontId="41" type="noConversion"/>
  </si>
  <si>
    <t>江苏元辰安装集团有限公司</t>
    <phoneticPr fontId="41" type="noConversion"/>
  </si>
  <si>
    <t xml:space="preserve"> 
如皋市慈善基金会</t>
    <phoneticPr fontId="41" type="noConversion"/>
  </si>
  <si>
    <t>南通惠蒲劳务有限公司</t>
    <phoneticPr fontId="41" type="noConversion"/>
  </si>
  <si>
    <t>如皋市农业农村局</t>
    <phoneticPr fontId="41" type="noConversion"/>
  </si>
  <si>
    <t>王俊飞</t>
    <phoneticPr fontId="41" type="noConversion"/>
  </si>
  <si>
    <t>如皋市财政国库集中支付中心</t>
    <phoneticPr fontId="41" type="noConversion"/>
  </si>
  <si>
    <t>周光福</t>
    <phoneticPr fontId="41" type="noConversion"/>
  </si>
  <si>
    <t>富皋万泰集团有限公司</t>
    <phoneticPr fontId="41" type="noConversion"/>
  </si>
  <si>
    <t>夏学奎</t>
    <phoneticPr fontId="41" type="noConversion"/>
  </si>
  <si>
    <t>季全民</t>
    <phoneticPr fontId="41" type="noConversion"/>
  </si>
  <si>
    <t>陈清清</t>
    <phoneticPr fontId="41" type="noConversion"/>
  </si>
  <si>
    <t>南通汇泽新材料有限公司</t>
    <phoneticPr fontId="41" type="noConversion"/>
  </si>
  <si>
    <t>如皋市丰迪肠衣有限公司</t>
    <phoneticPr fontId="41" type="noConversion"/>
  </si>
  <si>
    <t>如皋锦瑞置业有限公司</t>
    <phoneticPr fontId="41" type="noConversion"/>
  </si>
  <si>
    <t>孙珍</t>
    <phoneticPr fontId="41" type="noConversion"/>
  </si>
  <si>
    <t>石建乔</t>
    <phoneticPr fontId="41" type="noConversion"/>
  </si>
  <si>
    <t>南通邦尼金属材料科技有限公司</t>
    <phoneticPr fontId="41" type="noConversion"/>
  </si>
  <si>
    <t>周铁南</t>
    <phoneticPr fontId="41" type="noConversion"/>
  </si>
  <si>
    <t>房永建</t>
    <phoneticPr fontId="41" type="noConversion"/>
  </si>
  <si>
    <t>陈玉华</t>
    <phoneticPr fontId="41" type="noConversion"/>
  </si>
  <si>
    <t>夏露</t>
    <phoneticPr fontId="41" type="noConversion"/>
  </si>
  <si>
    <t>李赟</t>
    <phoneticPr fontId="41" type="noConversion"/>
  </si>
  <si>
    <t>陈向东</t>
    <phoneticPr fontId="41" type="noConversion"/>
  </si>
  <si>
    <t>王滔涛</t>
    <phoneticPr fontId="41" type="noConversion"/>
  </si>
  <si>
    <t xml:space="preserve">
章士勇</t>
    <phoneticPr fontId="41" type="noConversion"/>
  </si>
  <si>
    <t>如皋市北方燃料有限公司</t>
    <phoneticPr fontId="41" type="noConversion"/>
  </si>
  <si>
    <t xml:space="preserve"> 
南通市远邦石油有限公司</t>
    <phoneticPr fontId="41" type="noConversion"/>
  </si>
  <si>
    <t xml:space="preserve"> 
江苏皋开投资发展集团有限公司</t>
    <phoneticPr fontId="41" type="noConversion"/>
  </si>
  <si>
    <t>佘国庆</t>
    <phoneticPr fontId="41" type="noConversion"/>
  </si>
  <si>
    <t>郭萍萍</t>
    <phoneticPr fontId="41" type="noConversion"/>
  </si>
  <si>
    <t>马天宇</t>
    <phoneticPr fontId="41" type="noConversion"/>
  </si>
  <si>
    <t xml:space="preserve"> 
如皋市慈善基金会</t>
    <phoneticPr fontId="41" type="noConversion"/>
  </si>
  <si>
    <t>南通维科通讯器厂</t>
    <phoneticPr fontId="41" type="noConversion"/>
  </si>
  <si>
    <t>陈冰</t>
    <phoneticPr fontId="41" type="noConversion"/>
  </si>
  <si>
    <t>朱万万</t>
    <phoneticPr fontId="41" type="noConversion"/>
  </si>
  <si>
    <t>蔡芹</t>
    <phoneticPr fontId="41" type="noConversion"/>
  </si>
  <si>
    <t>范宏俊</t>
    <phoneticPr fontId="41" type="noConversion"/>
  </si>
  <si>
    <t>李赟</t>
    <phoneticPr fontId="41" type="noConversion"/>
  </si>
  <si>
    <t>卢德建</t>
    <phoneticPr fontId="41" type="noConversion"/>
  </si>
  <si>
    <t>如东县扶贫开发协会</t>
    <phoneticPr fontId="41" type="noConversion"/>
  </si>
  <si>
    <t>助残助困 情暖如东</t>
    <phoneticPr fontId="41" type="noConversion"/>
  </si>
  <si>
    <t>海门区扶贫开发协会</t>
    <phoneticPr fontId="41" type="noConversion"/>
  </si>
  <si>
    <t>携手助老区•海门行</t>
    <phoneticPr fontId="41" type="noConversion"/>
  </si>
  <si>
    <t>南通市海门区临江新区管理委员会</t>
    <phoneticPr fontId="41" type="noConversion"/>
  </si>
  <si>
    <t>海门市正余大岸桥市场服务所</t>
    <phoneticPr fontId="41" type="noConversion"/>
  </si>
  <si>
    <t>海门市正余供水服务站</t>
    <phoneticPr fontId="41" type="noConversion"/>
  </si>
  <si>
    <t>南通市海门区余东镇人民政府</t>
    <phoneticPr fontId="41" type="noConversion"/>
  </si>
  <si>
    <t>南通市海门区海门港新区管理委员会</t>
    <phoneticPr fontId="41" type="noConversion"/>
  </si>
  <si>
    <t>南通市海门区常乐镇人民政府</t>
    <phoneticPr fontId="41" type="noConversion"/>
  </si>
  <si>
    <t>南通市海门区住房和城乡建设局</t>
    <phoneticPr fontId="41" type="noConversion"/>
  </si>
  <si>
    <t xml:space="preserve"> 
南通市海门区三星镇人民政府</t>
    <phoneticPr fontId="41" type="noConversion"/>
  </si>
  <si>
    <t>南通市豪城市政建设有限公司</t>
    <phoneticPr fontId="41" type="noConversion"/>
  </si>
  <si>
    <t>启东市扶贫开发协会</t>
    <phoneticPr fontId="41" type="noConversion"/>
  </si>
  <si>
    <t>助医助困 情暖启东</t>
    <phoneticPr fontId="41" type="noConversion"/>
  </si>
  <si>
    <t>启东市汇龙镇人民政府</t>
    <phoneticPr fontId="41" type="noConversion"/>
  </si>
  <si>
    <t>启东市海复镇人民政府</t>
    <phoneticPr fontId="41" type="noConversion"/>
  </si>
  <si>
    <t>启东市王鲍镇人民政府</t>
    <phoneticPr fontId="41" type="noConversion"/>
  </si>
  <si>
    <t>启东市东海镇人民政府</t>
    <phoneticPr fontId="41" type="noConversion"/>
  </si>
  <si>
    <t>启东市合作镇人民政府</t>
    <phoneticPr fontId="41" type="noConversion"/>
  </si>
  <si>
    <t>启东市寅阳镇人民政府</t>
    <phoneticPr fontId="41" type="noConversion"/>
  </si>
  <si>
    <t>启东市惠萍镇人民政府</t>
    <phoneticPr fontId="41" type="noConversion"/>
  </si>
  <si>
    <t>启东市南阳镇人民政府</t>
    <phoneticPr fontId="41" type="noConversion"/>
  </si>
  <si>
    <t>启东市吕四港镇人民政府</t>
    <phoneticPr fontId="41" type="noConversion"/>
  </si>
  <si>
    <t>启东市北新镇人民政府</t>
    <phoneticPr fontId="41" type="noConversion"/>
  </si>
  <si>
    <t xml:space="preserve"> 
启东高新技术产业开发区管理委员会</t>
    <phoneticPr fontId="41" type="noConversion"/>
  </si>
  <si>
    <t>通州区扶贫开发协会</t>
    <phoneticPr fontId="41" type="noConversion"/>
  </si>
  <si>
    <t>助医助困 情暖通州</t>
    <phoneticPr fontId="41" type="noConversion"/>
  </si>
  <si>
    <t>南通市通州区刘桥镇人民政府</t>
    <phoneticPr fontId="41" type="noConversion"/>
  </si>
  <si>
    <t>南通达成包装制品有限公司</t>
    <phoneticPr fontId="41" type="noConversion"/>
  </si>
  <si>
    <t>南通市通州区厚余粮食种植专业合作社</t>
    <phoneticPr fontId="41" type="noConversion"/>
  </si>
  <si>
    <t>南通剑烽机械有限公司</t>
    <phoneticPr fontId="41" type="noConversion"/>
  </si>
  <si>
    <t>南通双和食品有限公司</t>
    <phoneticPr fontId="41" type="noConversion"/>
  </si>
  <si>
    <t>南通格莱德纺织用品有限公司</t>
    <phoneticPr fontId="41" type="noConversion"/>
  </si>
  <si>
    <t>祁海宝</t>
    <phoneticPr fontId="41" type="noConversion"/>
  </si>
  <si>
    <t>杨海</t>
    <phoneticPr fontId="41" type="noConversion"/>
  </si>
  <si>
    <t xml:space="preserve"> 
南通梦雅霏家用纺织品有限公司</t>
    <phoneticPr fontId="41" type="noConversion"/>
  </si>
  <si>
    <t>丁艺</t>
    <phoneticPr fontId="41" type="noConversion"/>
  </si>
  <si>
    <t>南通市扶贫开发协会</t>
    <phoneticPr fontId="41" type="noConversion"/>
  </si>
  <si>
    <t>爱心助困 情暖南通</t>
    <phoneticPr fontId="41" type="noConversion"/>
  </si>
  <si>
    <t>宝利根南通精密模塑有限公司</t>
    <phoneticPr fontId="41" type="noConversion"/>
  </si>
  <si>
    <t>江苏尚维斯环境科技股份有限公司</t>
    <phoneticPr fontId="41" type="noConversion"/>
  </si>
  <si>
    <t>南通市小海街道办事处</t>
    <phoneticPr fontId="41" type="noConversion"/>
  </si>
  <si>
    <t>南通常测机电设备有限公司</t>
    <phoneticPr fontId="41" type="noConversion"/>
  </si>
  <si>
    <t>南通通富微电子有限公司</t>
    <phoneticPr fontId="41" type="noConversion"/>
  </si>
  <si>
    <t xml:space="preserve"> 
江苏神马电力股份有限公司</t>
    <phoneticPr fontId="41" type="noConversion"/>
  </si>
  <si>
    <t>南通先知投资有限公司</t>
    <phoneticPr fontId="41" type="noConversion"/>
  </si>
  <si>
    <t>　　连云港市扶贫“两会”，6县（区、市）、6县区参与、6个子项目。</t>
    <phoneticPr fontId="41" type="noConversion"/>
  </si>
  <si>
    <t>07</t>
    <phoneticPr fontId="41" type="noConversion"/>
  </si>
  <si>
    <t>连云港市合计</t>
    <phoneticPr fontId="41" type="noConversion"/>
  </si>
  <si>
    <r>
      <t>携手助老区</t>
    </r>
    <r>
      <rPr>
        <b/>
        <sz val="12"/>
        <color theme="1"/>
        <rFont val="宋体"/>
        <family val="3"/>
        <charset val="134"/>
      </rPr>
      <t>•连云港</t>
    </r>
    <r>
      <rPr>
        <b/>
        <sz val="12"/>
        <color theme="1"/>
        <rFont val="微软雅黑"/>
        <family val="2"/>
        <charset val="134"/>
      </rPr>
      <t>行</t>
    </r>
    <phoneticPr fontId="41" type="noConversion"/>
  </si>
  <si>
    <t>0701</t>
    <phoneticPr fontId="41" type="noConversion"/>
  </si>
  <si>
    <t>东海县扶贫开发协会</t>
    <phoneticPr fontId="41" type="noConversion"/>
  </si>
  <si>
    <t>助学助困 情暖东海</t>
    <phoneticPr fontId="41" type="noConversion"/>
  </si>
  <si>
    <t>连云港市老区扶贫基金会</t>
    <phoneticPr fontId="41" type="noConversion"/>
  </si>
  <si>
    <t>灌云县扶贫开发协会</t>
    <phoneticPr fontId="41" type="noConversion"/>
  </si>
  <si>
    <t>助学助困 情暖灌云</t>
    <phoneticPr fontId="41" type="noConversion"/>
  </si>
  <si>
    <t xml:space="preserve">
连云港市老区扶贫基金会</t>
    <phoneticPr fontId="41" type="noConversion"/>
  </si>
  <si>
    <t>灌南县扶贫开发协会</t>
    <phoneticPr fontId="41" type="noConversion"/>
  </si>
  <si>
    <t>助学助困 情暖灌南</t>
    <phoneticPr fontId="41" type="noConversion"/>
  </si>
  <si>
    <t>连云港市老区扶贫基金会</t>
    <phoneticPr fontId="41" type="noConversion"/>
  </si>
  <si>
    <t>赣榆县扶贫开发协会</t>
    <phoneticPr fontId="41" type="noConversion"/>
  </si>
  <si>
    <t>大病帮扶 情暖赣榆</t>
    <phoneticPr fontId="41" type="noConversion"/>
  </si>
  <si>
    <t>连云港市老区扶贫基金会</t>
    <phoneticPr fontId="41" type="noConversion"/>
  </si>
  <si>
    <t>海州区扶贫开发协会</t>
    <phoneticPr fontId="41" type="noConversion"/>
  </si>
  <si>
    <t>大病帮扶 情暖海州</t>
    <phoneticPr fontId="41" type="noConversion"/>
  </si>
  <si>
    <t>连云区扶贫开发协会</t>
    <phoneticPr fontId="41" type="noConversion"/>
  </si>
  <si>
    <t>助学助困 情暖连云</t>
    <phoneticPr fontId="41" type="noConversion"/>
  </si>
  <si>
    <t>　　淮安市扶贫“三会”，7县（区、市）、6县区参与、6个子项目（2县区设冠名基金）。</t>
    <phoneticPr fontId="41" type="noConversion"/>
  </si>
  <si>
    <t>08</t>
    <phoneticPr fontId="41" type="noConversion"/>
  </si>
  <si>
    <t>淮安市合计</t>
    <phoneticPr fontId="41" type="noConversion"/>
  </si>
  <si>
    <r>
      <t>携手助老区</t>
    </r>
    <r>
      <rPr>
        <b/>
        <sz val="12"/>
        <color theme="1"/>
        <rFont val="宋体"/>
        <family val="3"/>
        <charset val="134"/>
      </rPr>
      <t>•淮安</t>
    </r>
    <r>
      <rPr>
        <b/>
        <sz val="12"/>
        <color theme="1"/>
        <rFont val="微软雅黑"/>
        <family val="2"/>
        <charset val="134"/>
      </rPr>
      <t>行</t>
    </r>
    <phoneticPr fontId="41" type="noConversion"/>
  </si>
  <si>
    <t>涟水县扶贫开发协会</t>
    <phoneticPr fontId="41" type="noConversion"/>
  </si>
  <si>
    <t>爱心助困 情暖涟水</t>
    <phoneticPr fontId="41" type="noConversion"/>
  </si>
  <si>
    <t>涟水县财政局财政零余额账户</t>
    <phoneticPr fontId="41" type="noConversion"/>
  </si>
  <si>
    <t>洪泽区扶贫开发协会</t>
    <phoneticPr fontId="41" type="noConversion"/>
  </si>
  <si>
    <t>爱心助困 情暖洪泽</t>
    <phoneticPr fontId="41" type="noConversion"/>
  </si>
  <si>
    <t>南京持盈贸易有限公司</t>
    <phoneticPr fontId="41" type="noConversion"/>
  </si>
  <si>
    <t>盱眙县扶贫开发协会</t>
    <phoneticPr fontId="41" type="noConversion"/>
  </si>
  <si>
    <t>见冠名基金项目明细</t>
    <phoneticPr fontId="41" type="noConversion"/>
  </si>
  <si>
    <t>——</t>
    <phoneticPr fontId="41" type="noConversion"/>
  </si>
  <si>
    <t>金湖县扶贫开发协会</t>
    <phoneticPr fontId="41" type="noConversion"/>
  </si>
  <si>
    <t>爱心助困 情暖金湖</t>
    <phoneticPr fontId="41" type="noConversion"/>
  </si>
  <si>
    <t>清江浦区扶贫开发协会</t>
    <phoneticPr fontId="41" type="noConversion"/>
  </si>
  <si>
    <t>爱心助困 情暖清江浦</t>
    <phoneticPr fontId="41" type="noConversion"/>
  </si>
  <si>
    <t>桑佳佳</t>
    <phoneticPr fontId="41" type="noConversion"/>
  </si>
  <si>
    <t>淮安市清江浦区长西街道办事处</t>
    <phoneticPr fontId="41" type="noConversion"/>
  </si>
  <si>
    <t>淮安江峰新材料有限公司</t>
    <phoneticPr fontId="41" type="noConversion"/>
  </si>
  <si>
    <t>淮安市清江浦区财政支付中心</t>
    <phoneticPr fontId="41" type="noConversion"/>
  </si>
  <si>
    <t>淮安嘉典装饰工程有限公司</t>
    <phoneticPr fontId="41" type="noConversion"/>
  </si>
  <si>
    <t>孙炜恒</t>
    <phoneticPr fontId="41" type="noConversion"/>
  </si>
  <si>
    <t xml:space="preserve"> 
淮安国信康复医院</t>
    <phoneticPr fontId="41" type="noConversion"/>
  </si>
  <si>
    <t>江苏淮安农村商业银行股份有限公司</t>
    <phoneticPr fontId="41" type="noConversion"/>
  </si>
  <si>
    <t>淮安市清江浦区清浦街道办事处</t>
    <phoneticPr fontId="41" type="noConversion"/>
  </si>
  <si>
    <t>淮安市清江浦区城南街道办事处</t>
    <phoneticPr fontId="41" type="noConversion"/>
  </si>
  <si>
    <t>淮安市清河区柳树湾街道办事处村组集体资金管理办公室</t>
    <phoneticPr fontId="41" type="noConversion"/>
  </si>
  <si>
    <t>淮安区扶贫开发协会</t>
    <phoneticPr fontId="41" type="noConversion"/>
  </si>
  <si>
    <t>爱心助困 情暖淮安区</t>
    <phoneticPr fontId="41" type="noConversion"/>
  </si>
  <si>
    <t>淮安市淮安区财政国库支付中心</t>
    <phoneticPr fontId="41" type="noConversion"/>
  </si>
  <si>
    <t xml:space="preserve"> 
淮安市淮安区施河镇人民政府</t>
    <phoneticPr fontId="41" type="noConversion"/>
  </si>
  <si>
    <t>淮安市圣玉米业有限公司</t>
    <phoneticPr fontId="41" type="noConversion"/>
  </si>
  <si>
    <t>淮安市淮安区平桥镇人民政府</t>
    <phoneticPr fontId="41" type="noConversion"/>
  </si>
  <si>
    <t>淮阴区扶贫开发协会</t>
    <phoneticPr fontId="41" type="noConversion"/>
  </si>
  <si>
    <t>母爱之都 爱心助学</t>
    <phoneticPr fontId="41" type="noConversion"/>
  </si>
  <si>
    <t>　　盐城市扶贫“三会”，8县（区、市）、8县区参与、9个子项目。</t>
    <phoneticPr fontId="41" type="noConversion"/>
  </si>
  <si>
    <t>09</t>
    <phoneticPr fontId="41" type="noConversion"/>
  </si>
  <si>
    <t>盐城市合计</t>
    <phoneticPr fontId="41" type="noConversion"/>
  </si>
  <si>
    <r>
      <t>携手乡村振兴</t>
    </r>
    <r>
      <rPr>
        <b/>
        <sz val="12"/>
        <color theme="1"/>
        <rFont val="宋体"/>
        <family val="3"/>
        <charset val="134"/>
      </rPr>
      <t>•</t>
    </r>
    <r>
      <rPr>
        <b/>
        <sz val="12"/>
        <color theme="1"/>
        <rFont val="微软雅黑"/>
        <family val="2"/>
        <charset val="134"/>
      </rPr>
      <t>盐城行</t>
    </r>
    <phoneticPr fontId="41" type="noConversion"/>
  </si>
  <si>
    <t>0901</t>
    <phoneticPr fontId="41" type="noConversion"/>
  </si>
  <si>
    <t>响水县扶贫开发协会</t>
    <phoneticPr fontId="41" type="noConversion"/>
  </si>
  <si>
    <t>助学助困 情暖响水</t>
    <phoneticPr fontId="41" type="noConversion"/>
  </si>
  <si>
    <t>滨海县扶贫开发协会</t>
    <phoneticPr fontId="41" type="noConversion"/>
  </si>
  <si>
    <t>阜宁县扶贫开发协会</t>
    <phoneticPr fontId="41" type="noConversion"/>
  </si>
  <si>
    <t>阜宁金阳新能源发展有限公司</t>
    <phoneticPr fontId="41" type="noConversion"/>
  </si>
  <si>
    <t>射阳县扶贫开发协会</t>
    <phoneticPr fontId="41" type="noConversion"/>
  </si>
  <si>
    <t>0905_1</t>
    <phoneticPr fontId="41" type="noConversion"/>
  </si>
  <si>
    <t>建湖县扶贫开发协会</t>
    <phoneticPr fontId="41" type="noConversion"/>
  </si>
  <si>
    <t>爱心助老 情暖建湖</t>
    <phoneticPr fontId="41" type="noConversion"/>
  </si>
  <si>
    <t>0905_2</t>
    <phoneticPr fontId="41" type="noConversion"/>
  </si>
  <si>
    <t>爱心助残 情暖建湖</t>
    <phoneticPr fontId="41" type="noConversion"/>
  </si>
  <si>
    <t>江苏亿德隆石油机械有限公司</t>
    <phoneticPr fontId="41" type="noConversion"/>
  </si>
  <si>
    <t>博弘环境建设有限公司</t>
    <phoneticPr fontId="41" type="noConversion"/>
  </si>
  <si>
    <t>盐城市万泽置业有限公司</t>
    <phoneticPr fontId="41" type="noConversion"/>
  </si>
  <si>
    <t>大丰区扶贫开发协会</t>
    <phoneticPr fontId="41" type="noConversion"/>
  </si>
  <si>
    <t>0907</t>
    <phoneticPr fontId="41" type="noConversion"/>
  </si>
  <si>
    <t>东台市扶贫开发协会</t>
    <phoneticPr fontId="41" type="noConversion"/>
  </si>
  <si>
    <t>盐都区扶贫开发协会</t>
    <phoneticPr fontId="41" type="noConversion"/>
  </si>
  <si>
    <t>　　扬州市扶贫“三会”，7县（区、市）、6县区+1志愿者团队参与、7个子项目。</t>
    <phoneticPr fontId="41" type="noConversion"/>
  </si>
  <si>
    <t>扬州市合计</t>
    <phoneticPr fontId="41" type="noConversion"/>
  </si>
  <si>
    <r>
      <t>携手助老区</t>
    </r>
    <r>
      <rPr>
        <b/>
        <sz val="12"/>
        <color theme="1"/>
        <rFont val="宋体"/>
        <family val="3"/>
        <charset val="134"/>
      </rPr>
      <t>•</t>
    </r>
    <r>
      <rPr>
        <b/>
        <sz val="12"/>
        <color theme="1"/>
        <rFont val="微软雅黑"/>
        <family val="2"/>
        <charset val="134"/>
      </rPr>
      <t>扬州行</t>
    </r>
    <phoneticPr fontId="41" type="noConversion"/>
  </si>
  <si>
    <t>1001</t>
    <phoneticPr fontId="41" type="noConversion"/>
  </si>
  <si>
    <t>高邮市扶贫基金会</t>
    <phoneticPr fontId="41" type="noConversion"/>
  </si>
  <si>
    <t>宝应县扶贫基金会</t>
    <phoneticPr fontId="41" type="noConversion"/>
  </si>
  <si>
    <t>江苏兴洋管业股份有限公司</t>
    <phoneticPr fontId="41" type="noConversion"/>
  </si>
  <si>
    <t>费玉忠</t>
    <phoneticPr fontId="41" type="noConversion"/>
  </si>
  <si>
    <t>王立才</t>
    <phoneticPr fontId="41" type="noConversion"/>
  </si>
  <si>
    <t>宝应县老区扶贫基金会</t>
    <phoneticPr fontId="41" type="noConversion"/>
  </si>
  <si>
    <t>扬州创伟凯瑞管业有限公司</t>
    <phoneticPr fontId="41" type="noConversion"/>
  </si>
  <si>
    <t>扬州天禾食品有限公司</t>
    <phoneticPr fontId="41" type="noConversion"/>
  </si>
  <si>
    <t>扬州市兴盛印染设备制造有限公司</t>
    <phoneticPr fontId="41" type="noConversion"/>
  </si>
  <si>
    <t>仪征市扶贫基金会</t>
    <phoneticPr fontId="41" type="noConversion"/>
  </si>
  <si>
    <t>仪征市月塘镇龙山村股份经济合作社</t>
    <phoneticPr fontId="41" type="noConversion"/>
  </si>
  <si>
    <t xml:space="preserve">仪征市新集镇老区扶贫开发协会
</t>
    <phoneticPr fontId="41" type="noConversion"/>
  </si>
  <si>
    <t xml:space="preserve"> 
仪征市月塘镇曹营村股份经济合作社</t>
    <phoneticPr fontId="41" type="noConversion"/>
  </si>
  <si>
    <t>仪征市月塘镇长兴村股份经济合作社</t>
    <phoneticPr fontId="41" type="noConversion"/>
  </si>
  <si>
    <t>仪征市月塘镇大营村股份经济合作社</t>
    <phoneticPr fontId="41" type="noConversion"/>
  </si>
  <si>
    <t>仪征市月塘镇乌山村股份经济合作社</t>
    <phoneticPr fontId="41" type="noConversion"/>
  </si>
  <si>
    <t>仪征市月塘镇桃园村股份经济合作社</t>
    <phoneticPr fontId="41" type="noConversion"/>
  </si>
  <si>
    <t>仪征市月塘镇赵桥村股份经济合作社</t>
    <phoneticPr fontId="41" type="noConversion"/>
  </si>
  <si>
    <t>仪征市月塘镇东风村股份经济合作社</t>
    <phoneticPr fontId="41" type="noConversion"/>
  </si>
  <si>
    <t>仪征市月塘镇夏营村股份经济合作社</t>
    <phoneticPr fontId="41" type="noConversion"/>
  </si>
  <si>
    <t>仪征市月塘镇山郑村股份经济合作社</t>
    <phoneticPr fontId="41" type="noConversion"/>
  </si>
  <si>
    <t>仪征市月塘镇山北村股份经济合作社</t>
    <phoneticPr fontId="41" type="noConversion"/>
  </si>
  <si>
    <t xml:space="preserve"> 
仪征市月塘镇四庄村股份经济合作社</t>
    <phoneticPr fontId="41" type="noConversion"/>
  </si>
  <si>
    <t>仪征市月塘镇魏井村股份经济合作社</t>
    <phoneticPr fontId="41" type="noConversion"/>
  </si>
  <si>
    <t>仪征市月塘镇铁坝村股份经济合作社</t>
    <phoneticPr fontId="41" type="noConversion"/>
  </si>
  <si>
    <t>仪征市月塘镇郑营村股份经济合作社</t>
    <phoneticPr fontId="41" type="noConversion"/>
  </si>
  <si>
    <t>仪征市月塘镇丁公村股份经济合作社</t>
    <phoneticPr fontId="41" type="noConversion"/>
  </si>
  <si>
    <t>仪征市马集镇农业农村局</t>
    <phoneticPr fontId="41" type="noConversion"/>
  </si>
  <si>
    <t xml:space="preserve">
仪征市月塘镇捺山村股份经济合作社</t>
    <phoneticPr fontId="41" type="noConversion"/>
  </si>
  <si>
    <t>仪征市月塘镇尹山村股份经济合作社</t>
    <phoneticPr fontId="41" type="noConversion"/>
  </si>
  <si>
    <t xml:space="preserve"> 
仪征市月塘镇六松村股份经济合作社</t>
    <phoneticPr fontId="41" type="noConversion"/>
  </si>
  <si>
    <t>江苏美高建筑装饰有限公司</t>
    <phoneticPr fontId="41" type="noConversion"/>
  </si>
  <si>
    <t>江都区市扶贫基金会</t>
    <phoneticPr fontId="41" type="noConversion"/>
  </si>
  <si>
    <t>助医助困 情暖江都</t>
    <phoneticPr fontId="41" type="noConversion"/>
  </si>
  <si>
    <t>扬州市昌盛车业有限公司</t>
    <phoneticPr fontId="41" type="noConversion"/>
  </si>
  <si>
    <t>邗江区扶贫基金会</t>
    <phoneticPr fontId="41" type="noConversion"/>
  </si>
  <si>
    <t>助医助困 情暖邗江</t>
    <phoneticPr fontId="41" type="noConversion"/>
  </si>
  <si>
    <t>扬州市邗江区槐泗镇财政所</t>
    <phoneticPr fontId="41" type="noConversion"/>
  </si>
  <si>
    <t xml:space="preserve"> 
扬州市邗江区人民政府汊河街道办事处</t>
    <phoneticPr fontId="41" type="noConversion"/>
  </si>
  <si>
    <t>扬州华祥置地有限责任公司</t>
    <phoneticPr fontId="41" type="noConversion"/>
  </si>
  <si>
    <t>扬州市邗江区蒋王街道财政所国库集中收付中心特设户</t>
    <phoneticPr fontId="41" type="noConversion"/>
  </si>
  <si>
    <t>扬州市邗江区扶贫开发协会</t>
    <phoneticPr fontId="41" type="noConversion"/>
  </si>
  <si>
    <t>扬州市邗江区甘泉街道慈善协会</t>
    <phoneticPr fontId="41" type="noConversion"/>
  </si>
  <si>
    <t>广陵区扶贫基金会</t>
    <phoneticPr fontId="41" type="noConversion"/>
  </si>
  <si>
    <t>助学助困 情暖广陵</t>
    <phoneticPr fontId="41" type="noConversion"/>
  </si>
  <si>
    <t>扬州市湾头镇财政国库集中收付中心非税收入专户</t>
    <phoneticPr fontId="41" type="noConversion"/>
  </si>
  <si>
    <t>扬州市广陵区汤汪乡人民政府</t>
    <phoneticPr fontId="41" type="noConversion"/>
  </si>
  <si>
    <t>扬州市邗江区沙头镇会计服务站</t>
    <phoneticPr fontId="41" type="noConversion"/>
  </si>
  <si>
    <t>扬州市广陵区头桥镇人民政府</t>
    <phoneticPr fontId="41" type="noConversion"/>
  </si>
  <si>
    <t>江苏扬州广陵经济开发区管理委员会财政局</t>
    <phoneticPr fontId="41" type="noConversion"/>
  </si>
  <si>
    <t>开发区扶贫基金会</t>
    <phoneticPr fontId="41" type="noConversion"/>
  </si>
  <si>
    <t>助学助困 情暖开发区</t>
    <phoneticPr fontId="41" type="noConversion"/>
  </si>
  <si>
    <t>扬州市八里镇卞港村村民委员会</t>
    <phoneticPr fontId="41" type="noConversion"/>
  </si>
  <si>
    <t>扬州经济技术开发区扬子津街道办事处</t>
    <phoneticPr fontId="41" type="noConversion"/>
  </si>
  <si>
    <t>扬州市永顺村农机专业合作社</t>
    <phoneticPr fontId="41" type="noConversion"/>
  </si>
  <si>
    <t>扬州市乾锦装饰工程有限公司</t>
    <phoneticPr fontId="41" type="noConversion"/>
  </si>
  <si>
    <t>扬州建达工程管理服务有限公司</t>
    <phoneticPr fontId="41" type="noConversion"/>
  </si>
  <si>
    <t>扬州市+技师团队</t>
    <phoneticPr fontId="41" type="noConversion"/>
  </si>
  <si>
    <t>爱心助学 情暖技师</t>
    <phoneticPr fontId="41" type="noConversion"/>
  </si>
  <si>
    <t>　　镇江市扶贫“三会”，6县（区、市）、6县区+2功能区参加，8个子项目。</t>
    <phoneticPr fontId="41" type="noConversion"/>
  </si>
  <si>
    <t>镇江市合计</t>
    <phoneticPr fontId="41" type="noConversion"/>
  </si>
  <si>
    <r>
      <t>携手助老区</t>
    </r>
    <r>
      <rPr>
        <b/>
        <sz val="12"/>
        <color theme="1"/>
        <rFont val="宋体"/>
        <family val="3"/>
        <charset val="134"/>
      </rPr>
      <t>•</t>
    </r>
    <r>
      <rPr>
        <b/>
        <sz val="12"/>
        <color theme="1"/>
        <rFont val="微软雅黑"/>
        <family val="2"/>
        <charset val="134"/>
      </rPr>
      <t>镇江行</t>
    </r>
    <phoneticPr fontId="41" type="noConversion"/>
  </si>
  <si>
    <t>1101</t>
    <phoneticPr fontId="41" type="noConversion"/>
  </si>
  <si>
    <t> 丹阳市扶贫基金会</t>
    <phoneticPr fontId="41" type="noConversion"/>
  </si>
  <si>
    <t>关爱儿童 情暖丹阳</t>
    <phoneticPr fontId="41" type="noConversion"/>
  </si>
  <si>
    <t>姜陈格格</t>
    <phoneticPr fontId="41" type="noConversion"/>
  </si>
  <si>
    <t xml:space="preserve">
丹阳市云阳街道汤甲村村民委员会</t>
    <phoneticPr fontId="41" type="noConversion"/>
  </si>
  <si>
    <t>丹阳经济开发区车站社区居民委员会</t>
    <phoneticPr fontId="41" type="noConversion"/>
  </si>
  <si>
    <t>1102</t>
    <phoneticPr fontId="41" type="noConversion"/>
  </si>
  <si>
    <t> 句容市茅山老区扶贫基金会</t>
    <phoneticPr fontId="41" type="noConversion"/>
  </si>
  <si>
    <t>援建东湾战斗胜利广场</t>
    <phoneticPr fontId="41" type="noConversion"/>
  </si>
  <si>
    <t>句容市苏南汽车配件有限公司</t>
    <phoneticPr fontId="41" type="noConversion"/>
  </si>
  <si>
    <t>刘宏全</t>
    <phoneticPr fontId="41" type="noConversion"/>
  </si>
  <si>
    <t>句容市宝华自来水有限公司</t>
    <phoneticPr fontId="41" type="noConversion"/>
  </si>
  <si>
    <t>江苏中企科技服务有限公司</t>
    <phoneticPr fontId="41" type="noConversion"/>
  </si>
  <si>
    <t xml:space="preserve"> 
江苏谷仓新材料科技有限公司</t>
    <phoneticPr fontId="41" type="noConversion"/>
  </si>
  <si>
    <t xml:space="preserve"> 
江苏宝华新城建设发展集团有限公司</t>
    <phoneticPr fontId="41" type="noConversion"/>
  </si>
  <si>
    <t>镇江光纳光电科技有限公司</t>
    <phoneticPr fontId="41" type="noConversion"/>
  </si>
  <si>
    <t>句容市崇明街道办事处</t>
    <phoneticPr fontId="41" type="noConversion"/>
  </si>
  <si>
    <t xml:space="preserve">
句容东南礼品有限公司</t>
    <phoneticPr fontId="41" type="noConversion"/>
  </si>
  <si>
    <t>江苏飞仕达针纺有限公司</t>
    <phoneticPr fontId="41" type="noConversion"/>
  </si>
  <si>
    <t>江苏华神特种橡胶制品股份有限公司</t>
    <phoneticPr fontId="41" type="noConversion"/>
  </si>
  <si>
    <t>句容市白兔新蕾针织帽厂</t>
    <phoneticPr fontId="41" type="noConversion"/>
  </si>
  <si>
    <t>彭绍媛</t>
    <phoneticPr fontId="41" type="noConversion"/>
  </si>
  <si>
    <t> 扬中市扶贫基金会</t>
    <phoneticPr fontId="41" type="noConversion"/>
  </si>
  <si>
    <t>助学助困 情暖扬中</t>
    <phoneticPr fontId="41" type="noConversion"/>
  </si>
  <si>
    <t>张霞</t>
    <phoneticPr fontId="41" type="noConversion"/>
  </si>
  <si>
    <t>扬中市飞翔体育用品有限公司</t>
    <phoneticPr fontId="41" type="noConversion"/>
  </si>
  <si>
    <t>扬中市远方水务有限公司</t>
    <phoneticPr fontId="41" type="noConversion"/>
  </si>
  <si>
    <t>黄步义</t>
    <phoneticPr fontId="41" type="noConversion"/>
  </si>
  <si>
    <t xml:space="preserve"> 
扬中市三茅镇兴阳村农地股份专业合作社</t>
    <phoneticPr fontId="41" type="noConversion"/>
  </si>
  <si>
    <t xml:space="preserve"> 
镇江市长江机电设备厂有限公司</t>
    <phoneticPr fontId="41" type="noConversion"/>
  </si>
  <si>
    <t>徐晨</t>
    <phoneticPr fontId="41" type="noConversion"/>
  </si>
  <si>
    <t>扬中市华众救助服务社</t>
    <phoneticPr fontId="41" type="noConversion"/>
  </si>
  <si>
    <t>朱美芳</t>
    <phoneticPr fontId="41" type="noConversion"/>
  </si>
  <si>
    <t>王柳</t>
    <phoneticPr fontId="41" type="noConversion"/>
  </si>
  <si>
    <t>祝影</t>
    <phoneticPr fontId="41" type="noConversion"/>
  </si>
  <si>
    <t>张静</t>
    <phoneticPr fontId="41" type="noConversion"/>
  </si>
  <si>
    <t>陆璐</t>
    <phoneticPr fontId="41" type="noConversion"/>
  </si>
  <si>
    <t>马意静</t>
    <phoneticPr fontId="41" type="noConversion"/>
  </si>
  <si>
    <t>郭玉蓉</t>
    <phoneticPr fontId="41" type="noConversion"/>
  </si>
  <si>
    <t>冯俊文</t>
    <phoneticPr fontId="41" type="noConversion"/>
  </si>
  <si>
    <t>葛玲</t>
    <phoneticPr fontId="41" type="noConversion"/>
  </si>
  <si>
    <t>杨美红</t>
    <phoneticPr fontId="41" type="noConversion"/>
  </si>
  <si>
    <t>徐明霞</t>
    <phoneticPr fontId="41" type="noConversion"/>
  </si>
  <si>
    <t>杜庆云</t>
    <phoneticPr fontId="41" type="noConversion"/>
  </si>
  <si>
    <t xml:space="preserve">
曹美琴</t>
    <phoneticPr fontId="41" type="noConversion"/>
  </si>
  <si>
    <t>汪文平</t>
    <phoneticPr fontId="41" type="noConversion"/>
  </si>
  <si>
    <t>王美华</t>
    <phoneticPr fontId="41" type="noConversion"/>
  </si>
  <si>
    <t xml:space="preserve">
朱晨</t>
    <phoneticPr fontId="41" type="noConversion"/>
  </si>
  <si>
    <t>王丹</t>
    <phoneticPr fontId="41" type="noConversion"/>
  </si>
  <si>
    <t>郭云燕</t>
    <phoneticPr fontId="41" type="noConversion"/>
  </si>
  <si>
    <t>苏静</t>
    <phoneticPr fontId="41" type="noConversion"/>
  </si>
  <si>
    <t>解明芳</t>
    <phoneticPr fontId="41" type="noConversion"/>
  </si>
  <si>
    <t>刘阳</t>
    <phoneticPr fontId="41" type="noConversion"/>
  </si>
  <si>
    <t xml:space="preserve">
戴子明</t>
    <phoneticPr fontId="41" type="noConversion"/>
  </si>
  <si>
    <t>黄海蓉</t>
    <phoneticPr fontId="41" type="noConversion"/>
  </si>
  <si>
    <t>冯雨琪</t>
    <phoneticPr fontId="41" type="noConversion"/>
  </si>
  <si>
    <t>徐艳秋</t>
    <phoneticPr fontId="41" type="noConversion"/>
  </si>
  <si>
    <t>张洪华</t>
    <phoneticPr fontId="41" type="noConversion"/>
  </si>
  <si>
    <t>常琳</t>
    <phoneticPr fontId="41" type="noConversion"/>
  </si>
  <si>
    <t>张丽娟</t>
    <phoneticPr fontId="41" type="noConversion"/>
  </si>
  <si>
    <t>李柯辰</t>
    <phoneticPr fontId="41" type="noConversion"/>
  </si>
  <si>
    <t>李霞</t>
    <phoneticPr fontId="41" type="noConversion"/>
  </si>
  <si>
    <t>薛梅</t>
    <phoneticPr fontId="41" type="noConversion"/>
  </si>
  <si>
    <t>徐梦苑</t>
    <phoneticPr fontId="41" type="noConversion"/>
  </si>
  <si>
    <t>王玉娟</t>
    <phoneticPr fontId="41" type="noConversion"/>
  </si>
  <si>
    <t>陈保华</t>
    <phoneticPr fontId="41" type="noConversion"/>
  </si>
  <si>
    <t xml:space="preserve">
郭秀凤</t>
    <phoneticPr fontId="41" type="noConversion"/>
  </si>
  <si>
    <t>蔡亚菲</t>
    <phoneticPr fontId="41" type="noConversion"/>
  </si>
  <si>
    <t>陈泽坚</t>
    <phoneticPr fontId="41" type="noConversion"/>
  </si>
  <si>
    <t>张洁</t>
    <phoneticPr fontId="41" type="noConversion"/>
  </si>
  <si>
    <t> 丹徒市扶贫基金会</t>
    <phoneticPr fontId="41" type="noConversion"/>
  </si>
  <si>
    <t>携手助残 情暖丹徒</t>
    <phoneticPr fontId="41" type="noConversion"/>
  </si>
  <si>
    <t>魏兴来</t>
    <phoneticPr fontId="41" type="noConversion"/>
  </si>
  <si>
    <t> 京口区扶贫基金会</t>
    <phoneticPr fontId="41" type="noConversion"/>
  </si>
  <si>
    <t>爱心助困 情暖京口</t>
    <phoneticPr fontId="41" type="noConversion"/>
  </si>
  <si>
    <t>镇江市京口区谏壁街道办事处</t>
    <phoneticPr fontId="41" type="noConversion"/>
  </si>
  <si>
    <t>镇江市京口区财政局</t>
    <phoneticPr fontId="41" type="noConversion"/>
  </si>
  <si>
    <t>镇江新民洲临港产业园管理委员会</t>
    <phoneticPr fontId="41" type="noConversion"/>
  </si>
  <si>
    <t xml:space="preserve">
孙喜梅</t>
    <phoneticPr fontId="41" type="noConversion"/>
  </si>
  <si>
    <t>镇江市京口区正东路街道京口路社区居民委员会</t>
    <phoneticPr fontId="41" type="noConversion"/>
  </si>
  <si>
    <t xml:space="preserve"> 
镇江市京口区大市口街道办事处</t>
    <phoneticPr fontId="41" type="noConversion"/>
  </si>
  <si>
    <t>镇江市京口区四牌楼街道办事处</t>
    <phoneticPr fontId="41" type="noConversion"/>
  </si>
  <si>
    <t>镇江市京口区健康路街道办事处</t>
    <phoneticPr fontId="41" type="noConversion"/>
  </si>
  <si>
    <t> 润州区扶贫基金会</t>
    <phoneticPr fontId="41" type="noConversion"/>
  </si>
  <si>
    <t>镇江市润州区七里甸街道办事处</t>
    <phoneticPr fontId="41" type="noConversion"/>
  </si>
  <si>
    <t xml:space="preserve"> 
镇江市润州区和平路街道办事处</t>
    <phoneticPr fontId="41" type="noConversion"/>
  </si>
  <si>
    <t>镇江市润州区韦岗街道办事处</t>
    <phoneticPr fontId="41" type="noConversion"/>
  </si>
  <si>
    <t>镇江市润州区宝塔路街道办事处</t>
    <phoneticPr fontId="41" type="noConversion"/>
  </si>
  <si>
    <t xml:space="preserve"> 
镇江市润州区官塘桥街道办事处</t>
    <phoneticPr fontId="41" type="noConversion"/>
  </si>
  <si>
    <t>镇江市润州区南山街道办事处</t>
    <phoneticPr fontId="41" type="noConversion"/>
  </si>
  <si>
    <t>镇江市润州区金山街道办事处</t>
    <phoneticPr fontId="41" type="noConversion"/>
  </si>
  <si>
    <t>镇江市新区扶贫开发协会</t>
    <phoneticPr fontId="41" type="noConversion"/>
  </si>
  <si>
    <t>扶困助老 情暖圌山</t>
    <phoneticPr fontId="41" type="noConversion"/>
  </si>
  <si>
    <t>镇江市正源智能科技有限公司</t>
    <phoneticPr fontId="41" type="noConversion"/>
  </si>
  <si>
    <t>镇江市顺潮金属材料有限公司</t>
    <phoneticPr fontId="41" type="noConversion"/>
  </si>
  <si>
    <t xml:space="preserve"> 
江苏诺丽慧农农业科技有限公司</t>
    <phoneticPr fontId="41" type="noConversion"/>
  </si>
  <si>
    <t>镇江美达塑胶有限公司</t>
    <phoneticPr fontId="41" type="noConversion"/>
  </si>
  <si>
    <t xml:space="preserve"> 
张梓昕</t>
    <phoneticPr fontId="41" type="noConversion"/>
  </si>
  <si>
    <t>镇江市润宇生物科技开发有限公司</t>
    <phoneticPr fontId="41" type="noConversion"/>
  </si>
  <si>
    <t>镇江建苏农药化工有限公司</t>
    <phoneticPr fontId="41" type="noConversion"/>
  </si>
  <si>
    <t>江苏江大源生态生物科技股份有限公司</t>
    <phoneticPr fontId="41" type="noConversion"/>
  </si>
  <si>
    <t>镇江市高新区老促会</t>
    <phoneticPr fontId="41" type="noConversion"/>
  </si>
  <si>
    <t>“梦想+”关爱计划</t>
    <phoneticPr fontId="41" type="noConversion"/>
  </si>
  <si>
    <t>润州区永兴园艺场</t>
    <phoneticPr fontId="41" type="noConversion"/>
  </si>
  <si>
    <t>江苏河海建设有限公司</t>
    <phoneticPr fontId="41" type="noConversion"/>
  </si>
  <si>
    <t>镇江市工程勘测设计研究院有限公司</t>
    <phoneticPr fontId="41" type="noConversion"/>
  </si>
  <si>
    <t>康玉平</t>
    <phoneticPr fontId="41" type="noConversion"/>
  </si>
  <si>
    <t xml:space="preserve"> 
镇江市水利建筑工程有限公司</t>
    <phoneticPr fontId="41" type="noConversion"/>
  </si>
  <si>
    <t>镇江市五洲山茶场</t>
    <phoneticPr fontId="41" type="noConversion"/>
  </si>
  <si>
    <t>江苏凯德电控科技有限公司</t>
    <phoneticPr fontId="41" type="noConversion"/>
  </si>
  <si>
    <t>江苏省水文水资源勘查局镇江分局</t>
    <phoneticPr fontId="41" type="noConversion"/>
  </si>
  <si>
    <t>　　泰州市扶贫“三会”，6县（区、市）、6县区参与、4个子项目，38(17+21)个个体项目。</t>
    <phoneticPr fontId="41" type="noConversion"/>
  </si>
  <si>
    <t>泰州市合计</t>
    <phoneticPr fontId="41" type="noConversion"/>
  </si>
  <si>
    <r>
      <t>携手助老区</t>
    </r>
    <r>
      <rPr>
        <b/>
        <sz val="12"/>
        <color theme="1"/>
        <rFont val="宋体"/>
        <family val="3"/>
        <charset val="134"/>
      </rPr>
      <t>•</t>
    </r>
    <r>
      <rPr>
        <b/>
        <sz val="12"/>
        <color theme="1"/>
        <rFont val="微软雅黑"/>
        <family val="2"/>
        <charset val="134"/>
      </rPr>
      <t>泰州行</t>
    </r>
    <phoneticPr fontId="41" type="noConversion"/>
  </si>
  <si>
    <t>1201</t>
    <phoneticPr fontId="41" type="noConversion"/>
  </si>
  <si>
    <t>靖江市扶贫基金会</t>
    <phoneticPr fontId="41" type="noConversion"/>
  </si>
  <si>
    <t>助医助困 情暖靖江</t>
    <phoneticPr fontId="41" type="noConversion"/>
  </si>
  <si>
    <t>靖江市和泰电机部件制造有限公司</t>
    <phoneticPr fontId="41" type="noConversion"/>
  </si>
  <si>
    <t>1202</t>
    <phoneticPr fontId="41" type="noConversion"/>
  </si>
  <si>
    <t>泰兴市扶贫基金会</t>
    <phoneticPr fontId="41" type="noConversion"/>
  </si>
  <si>
    <t>助医助困 情暖泰兴</t>
    <phoneticPr fontId="41" type="noConversion"/>
  </si>
  <si>
    <t>1203</t>
    <phoneticPr fontId="41" type="noConversion"/>
  </si>
  <si>
    <t>兴化市扶贫基金会</t>
    <phoneticPr fontId="41" type="noConversion"/>
  </si>
  <si>
    <t>助医助困 情暖兴化</t>
    <phoneticPr fontId="41" type="noConversion"/>
  </si>
  <si>
    <t>1204</t>
    <phoneticPr fontId="41" type="noConversion"/>
  </si>
  <si>
    <t>海陵区扶贫基金会</t>
    <phoneticPr fontId="41" type="noConversion"/>
  </si>
  <si>
    <t>助医助困 情暖海陵</t>
    <phoneticPr fontId="41" type="noConversion"/>
  </si>
  <si>
    <t>泰州市海陵区阳光扶贫基金会</t>
    <phoneticPr fontId="41" type="noConversion"/>
  </si>
  <si>
    <t>1205</t>
    <phoneticPr fontId="41" type="noConversion"/>
  </si>
  <si>
    <t>高港区扶贫基金会</t>
    <phoneticPr fontId="41" type="noConversion"/>
  </si>
  <si>
    <t>助医助困 情暖高港</t>
    <phoneticPr fontId="41" type="noConversion"/>
  </si>
  <si>
    <t>姜堰区扶贫基金会</t>
    <phoneticPr fontId="41" type="noConversion"/>
  </si>
  <si>
    <t>助医助困 情暖姜堰</t>
    <phoneticPr fontId="41" type="noConversion"/>
  </si>
  <si>
    <t>　　宿迁市扶贫“三会”，5县（区、市）、4县区+2功能区参与，6个子项目。</t>
    <phoneticPr fontId="41" type="noConversion"/>
  </si>
  <si>
    <t>宿迁市合计</t>
    <phoneticPr fontId="41" type="noConversion"/>
  </si>
  <si>
    <r>
      <t>携手助老区</t>
    </r>
    <r>
      <rPr>
        <b/>
        <sz val="12"/>
        <color theme="1"/>
        <rFont val="宋体"/>
        <family val="3"/>
        <charset val="134"/>
      </rPr>
      <t>•</t>
    </r>
    <r>
      <rPr>
        <b/>
        <sz val="12"/>
        <color theme="1"/>
        <rFont val="微软雅黑"/>
        <family val="2"/>
        <charset val="134"/>
      </rPr>
      <t>宿迁行</t>
    </r>
    <phoneticPr fontId="41" type="noConversion"/>
  </si>
  <si>
    <t>1301</t>
    <phoneticPr fontId="41" type="noConversion"/>
  </si>
  <si>
    <t>沭阳县扶贫开发协会</t>
    <phoneticPr fontId="41" type="noConversion"/>
  </si>
  <si>
    <t>援建“七英雄战斗遗址纪念墙”</t>
    <phoneticPr fontId="41" type="noConversion"/>
  </si>
  <si>
    <t>1302</t>
    <phoneticPr fontId="41" type="noConversion"/>
  </si>
  <si>
    <t>泗阳县扶贫开发协会</t>
    <phoneticPr fontId="41" type="noConversion"/>
  </si>
  <si>
    <t>援建“新四军独立旅纪念园”</t>
    <phoneticPr fontId="41" type="noConversion"/>
  </si>
  <si>
    <t>苏州艾雷特环保科技有限公司</t>
    <phoneticPr fontId="41" type="noConversion"/>
  </si>
  <si>
    <t>1303</t>
    <phoneticPr fontId="41" type="noConversion"/>
  </si>
  <si>
    <t>泗洪县扶贫开发协会</t>
    <phoneticPr fontId="41" type="noConversion"/>
  </si>
  <si>
    <t>慈爱助孤 善行泗洪</t>
    <phoneticPr fontId="41" type="noConversion"/>
  </si>
  <si>
    <t>江苏梓盛发欢乐水城旅游有限公司</t>
    <phoneticPr fontId="41" type="noConversion"/>
  </si>
  <si>
    <t>江苏智德置业有限公司</t>
    <phoneticPr fontId="41" type="noConversion"/>
  </si>
  <si>
    <t>江苏安颐健康管理集团有限公司</t>
    <phoneticPr fontId="41" type="noConversion"/>
  </si>
  <si>
    <t>泗洪县扶贫基金会</t>
    <phoneticPr fontId="41" type="noConversion"/>
  </si>
  <si>
    <t>1304</t>
    <phoneticPr fontId="41" type="noConversion"/>
  </si>
  <si>
    <t>宿豫区扶贫开发协会</t>
    <phoneticPr fontId="41" type="noConversion"/>
  </si>
  <si>
    <t>慈爱助孤 善行宿豫</t>
    <phoneticPr fontId="41" type="noConversion"/>
  </si>
  <si>
    <t>1305</t>
    <phoneticPr fontId="41" type="noConversion"/>
  </si>
  <si>
    <t>宿城区扶贫开发协会</t>
    <phoneticPr fontId="41" type="noConversion"/>
  </si>
  <si>
    <t>湖滨新区扶贫开发协会</t>
    <phoneticPr fontId="41" type="noConversion"/>
  </si>
  <si>
    <t>慈爱助医 情慰童心</t>
    <phoneticPr fontId="41" type="noConversion"/>
  </si>
  <si>
    <t>经开区扶贫开发协会</t>
    <phoneticPr fontId="41" type="noConversion"/>
  </si>
  <si>
    <t>1308</t>
    <phoneticPr fontId="41" type="noConversion"/>
  </si>
  <si>
    <t>洋河新区扶贫开发协会</t>
    <phoneticPr fontId="41" type="noConversion"/>
  </si>
  <si>
    <t>爱心助医 情暖洋河</t>
    <phoneticPr fontId="41" type="noConversion"/>
  </si>
  <si>
    <t xml:space="preserve">
备注：
　　1、省扶贫“三会”系统“携手助老区”公募捐赠活动，含13个设区市的84个单位（2个设区市、69个县区、6个功能区、7个志愿者团队）上报的83个群体项目和38个个体救助项目（合并为2个群体统计项）。
　　2、表中捐赠合计不包含腾讯配捐，线上捐赠含公益宝平台和腾讯公益平台的大众筹款。
    3、所有项目的腾讯随机配捐（含非限定配捐），以腾讯公益慈善基金会统计数据为准。  
制表：            会计：              分管领导：             财务分管：</t>
    <phoneticPr fontId="41" type="noConversion"/>
  </si>
  <si>
    <t xml:space="preserve"> </t>
    <phoneticPr fontId="41" type="noConversion"/>
  </si>
  <si>
    <r>
      <rPr>
        <sz val="18"/>
        <color theme="1"/>
        <rFont val="黑体"/>
        <family val="3"/>
        <charset val="134"/>
      </rPr>
      <t>2022年度“携手助老区”慈善公募项目善款收支明细表（元）</t>
    </r>
    <r>
      <rPr>
        <sz val="16"/>
        <color theme="1"/>
        <rFont val="黑体"/>
        <family val="3"/>
        <charset val="134"/>
      </rPr>
      <t xml:space="preserve">
(2022年1月1日0时～12月31日24时整)</t>
    </r>
    <phoneticPr fontId="41" type="noConversion"/>
  </si>
  <si>
    <t>拨付善款二</t>
    <phoneticPr fontId="41" type="noConversion"/>
  </si>
  <si>
    <t>拨付善款一</t>
    <phoneticPr fontId="41" type="noConversion"/>
  </si>
  <si>
    <t>收取管理费</t>
    <phoneticPr fontId="41" type="noConversion"/>
  </si>
  <si>
    <t>随机配捐</t>
    <phoneticPr fontId="41" type="noConversion"/>
  </si>
  <si>
    <t>已拨付限配</t>
    <phoneticPr fontId="41" type="noConversion"/>
  </si>
  <si>
    <t>非限定配捐</t>
    <phoneticPr fontId="41" type="noConversion"/>
  </si>
  <si>
    <t>已拨付非限配</t>
    <phoneticPr fontId="41" type="noConversion"/>
  </si>
  <si>
    <t>拨付线上激励</t>
    <phoneticPr fontId="41" type="noConversion"/>
  </si>
</sst>
</file>

<file path=xl/styles.xml><?xml version="1.0" encoding="utf-8"?>
<styleSheet xmlns="http://schemas.openxmlformats.org/spreadsheetml/2006/main">
  <numFmts count="4">
    <numFmt numFmtId="44" formatCode="_ &quot;¥&quot;* #,##0.00_ ;_ &quot;¥&quot;* \-#,##0.00_ ;_ &quot;¥&quot;* &quot;-&quot;??_ ;_ @_ "/>
    <numFmt numFmtId="176" formatCode="[$-F800]dddd\,\ mmmm\ dd\,\ yyyy"/>
    <numFmt numFmtId="177" formatCode="0.00_);[Red]\(0.00\)"/>
    <numFmt numFmtId="179" formatCode="[$-F800]dddd&quot;, &quot;mmmm\ dd&quot;, &quot;yyyy"/>
  </numFmts>
  <fonts count="54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0"/>
      <color theme="1"/>
      <name val="微软雅黑"/>
      <family val="2"/>
      <charset val="134"/>
    </font>
    <font>
      <sz val="12"/>
      <color theme="1"/>
      <name val="黑体"/>
      <family val="3"/>
      <charset val="134"/>
    </font>
    <font>
      <b/>
      <sz val="12"/>
      <color theme="1"/>
      <name val="微软雅黑"/>
      <family val="2"/>
      <charset val="134"/>
    </font>
    <font>
      <sz val="13"/>
      <color theme="1"/>
      <name val="黑体"/>
      <family val="3"/>
      <charset val="134"/>
    </font>
    <font>
      <sz val="11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b/>
      <sz val="11"/>
      <color theme="1"/>
      <name val="宋体"/>
      <family val="3"/>
      <charset val="134"/>
    </font>
    <font>
      <sz val="10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2"/>
      <color theme="1"/>
      <name val="仿宋"/>
      <family val="3"/>
      <charset val="134"/>
    </font>
    <font>
      <sz val="9"/>
      <color theme="1"/>
      <name val="微软雅黑"/>
      <family val="2"/>
      <charset val="134"/>
    </font>
    <font>
      <sz val="10"/>
      <color rgb="FF000000"/>
      <name val="微软雅黑"/>
      <family val="2"/>
      <charset val="134"/>
    </font>
    <font>
      <b/>
      <sz val="12"/>
      <color rgb="FFFF0000"/>
      <name val="宋体"/>
      <family val="3"/>
      <charset val="134"/>
      <scheme val="minor"/>
    </font>
    <font>
      <b/>
      <sz val="10"/>
      <color rgb="FF00B050"/>
      <name val="微软雅黑"/>
      <family val="2"/>
      <charset val="134"/>
    </font>
    <font>
      <b/>
      <sz val="12"/>
      <color theme="1"/>
      <name val="仿宋"/>
      <family val="3"/>
      <charset val="134"/>
    </font>
    <font>
      <b/>
      <sz val="10"/>
      <color theme="9" tint="-0.249977111117893"/>
      <name val="微软雅黑"/>
      <family val="2"/>
      <charset val="134"/>
    </font>
    <font>
      <sz val="10"/>
      <color rgb="FF00B050"/>
      <name val="微软雅黑"/>
      <family val="2"/>
      <charset val="134"/>
    </font>
    <font>
      <b/>
      <sz val="12"/>
      <color theme="1"/>
      <name val="黑体"/>
      <family val="3"/>
      <charset val="134"/>
    </font>
    <font>
      <b/>
      <sz val="10"/>
      <color rgb="FF0351ED"/>
      <name val="微软雅黑"/>
      <family val="2"/>
      <charset val="134"/>
    </font>
    <font>
      <sz val="11"/>
      <color rgb="FF0351ED"/>
      <name val="仿宋"/>
      <family val="3"/>
      <charset val="134"/>
    </font>
    <font>
      <sz val="10"/>
      <color rgb="FF0351ED"/>
      <name val="微软雅黑"/>
      <family val="2"/>
      <charset val="134"/>
    </font>
    <font>
      <b/>
      <sz val="10"/>
      <name val="微软雅黑"/>
      <family val="2"/>
      <charset val="134"/>
    </font>
    <font>
      <sz val="10"/>
      <name val="微软雅黑"/>
      <family val="2"/>
      <charset val="134"/>
    </font>
    <font>
      <sz val="11"/>
      <name val="微软雅黑"/>
      <family val="2"/>
      <charset val="134"/>
    </font>
    <font>
      <sz val="11"/>
      <color rgb="FFFF0000"/>
      <name val="微软雅黑"/>
      <family val="2"/>
      <charset val="134"/>
    </font>
    <font>
      <sz val="11"/>
      <name val="仿宋"/>
      <family val="3"/>
      <charset val="134"/>
    </font>
    <font>
      <sz val="11"/>
      <color rgb="FF00B050"/>
      <name val="仿宋"/>
      <family val="3"/>
      <charset val="134"/>
    </font>
    <font>
      <sz val="18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1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b/>
      <sz val="12"/>
      <name val="宋体"/>
      <family val="3"/>
      <charset val="134"/>
      <scheme val="minor"/>
    </font>
    <font>
      <b/>
      <sz val="11"/>
      <color theme="9" tint="-0.249977111117893"/>
      <name val="宋体"/>
      <family val="2"/>
      <charset val="134"/>
      <scheme val="minor"/>
    </font>
    <font>
      <b/>
      <sz val="10"/>
      <color rgb="FF009900"/>
      <name val="微软雅黑"/>
      <family val="2"/>
      <charset val="134"/>
    </font>
    <font>
      <sz val="10"/>
      <color rgb="FF009900"/>
      <name val="微软雅黑"/>
      <family val="2"/>
      <charset val="134"/>
    </font>
    <font>
      <sz val="11"/>
      <color theme="1"/>
      <name val="微软雅黑"/>
      <charset val="134"/>
    </font>
    <font>
      <sz val="10"/>
      <color theme="1"/>
      <name val="微软雅黑"/>
      <charset val="134"/>
    </font>
    <font>
      <sz val="11"/>
      <color rgb="FF009900"/>
      <name val="微软雅黑"/>
      <family val="2"/>
      <charset val="134"/>
    </font>
    <font>
      <sz val="11"/>
      <color rgb="FF009900"/>
      <name val="仿宋"/>
      <family val="3"/>
      <charset val="134"/>
    </font>
    <font>
      <b/>
      <sz val="11"/>
      <color rgb="FF00B0F0"/>
      <name val="宋体"/>
      <family val="2"/>
      <charset val="134"/>
      <scheme val="minor"/>
    </font>
    <font>
      <sz val="9"/>
      <name val="宋体"/>
      <charset val="134"/>
      <scheme val="minor"/>
    </font>
    <font>
      <sz val="11"/>
      <color rgb="FF000000"/>
      <name val="宋体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510">
    <xf numFmtId="176" fontId="0" fillId="0" borderId="0">
      <alignment vertical="center"/>
    </xf>
    <xf numFmtId="176" fontId="34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176" fontId="34" fillId="0" borderId="0">
      <alignment vertical="center"/>
    </xf>
    <xf numFmtId="176" fontId="38" fillId="0" borderId="0">
      <alignment vertical="center"/>
    </xf>
    <xf numFmtId="176" fontId="38" fillId="0" borderId="0">
      <alignment vertical="center"/>
    </xf>
    <xf numFmtId="176" fontId="34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179" fontId="53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34" fillId="0" borderId="0"/>
    <xf numFmtId="179" fontId="34" fillId="0" borderId="0">
      <alignment vertical="center"/>
    </xf>
    <xf numFmtId="179" fontId="34" fillId="0" borderId="0">
      <alignment vertical="center"/>
    </xf>
    <xf numFmtId="179" fontId="34" fillId="0" borderId="0">
      <alignment vertical="center"/>
    </xf>
    <xf numFmtId="179" fontId="34" fillId="0" borderId="0">
      <alignment vertical="center"/>
    </xf>
    <xf numFmtId="179" fontId="34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</cellStyleXfs>
  <cellXfs count="255">
    <xf numFmtId="176" fontId="0" fillId="0" borderId="0" xfId="0">
      <alignment vertical="center"/>
    </xf>
    <xf numFmtId="49" fontId="0" fillId="0" borderId="0" xfId="0" applyNumberFormat="1" applyFont="1">
      <alignment vertical="center"/>
    </xf>
    <xf numFmtId="176" fontId="0" fillId="0" borderId="0" xfId="0" applyFont="1">
      <alignment vertical="center"/>
    </xf>
    <xf numFmtId="176" fontId="0" fillId="0" borderId="0" xfId="0" applyFont="1" applyAlignment="1">
      <alignment vertical="center" shrinkToFit="1"/>
    </xf>
    <xf numFmtId="177" fontId="0" fillId="0" borderId="0" xfId="0" applyNumberFormat="1" applyFont="1" applyAlignment="1">
      <alignment horizontal="right" vertical="center" shrinkToFit="1"/>
    </xf>
    <xf numFmtId="177" fontId="0" fillId="0" borderId="0" xfId="0" applyNumberFormat="1" applyFont="1" applyAlignment="1">
      <alignment vertical="center" shrinkToFit="1"/>
    </xf>
    <xf numFmtId="177" fontId="0" fillId="0" borderId="0" xfId="0" applyNumberFormat="1" applyFont="1">
      <alignment vertical="center"/>
    </xf>
    <xf numFmtId="176" fontId="0" fillId="0" borderId="0" xfId="0" applyFont="1" applyAlignment="1">
      <alignment horizontal="center" vertical="center"/>
    </xf>
    <xf numFmtId="176" fontId="6" fillId="0" borderId="7" xfId="0" applyFont="1" applyBorder="1" applyAlignment="1">
      <alignment horizontal="center" vertical="center"/>
    </xf>
    <xf numFmtId="176" fontId="7" fillId="0" borderId="7" xfId="0" applyFont="1" applyBorder="1" applyAlignment="1">
      <alignment horizontal="center" vertical="center" wrapText="1" shrinkToFit="1"/>
    </xf>
    <xf numFmtId="176" fontId="7" fillId="0" borderId="7" xfId="0" applyFont="1" applyBorder="1" applyAlignment="1">
      <alignment horizontal="center" vertical="center" shrinkToFit="1"/>
    </xf>
    <xf numFmtId="177" fontId="6" fillId="0" borderId="0" xfId="0" applyNumberFormat="1" applyFont="1" applyBorder="1" applyAlignment="1">
      <alignment horizontal="right" vertical="center" wrapText="1"/>
    </xf>
    <xf numFmtId="10" fontId="6" fillId="0" borderId="7" xfId="0" applyNumberFormat="1" applyFont="1" applyBorder="1" applyAlignment="1">
      <alignment horizontal="right" vertical="center" shrinkToFit="1"/>
    </xf>
    <xf numFmtId="49" fontId="6" fillId="0" borderId="7" xfId="0" applyNumberFormat="1" applyFont="1" applyBorder="1" applyAlignment="1">
      <alignment horizontal="right" vertical="center" shrinkToFit="1"/>
    </xf>
    <xf numFmtId="177" fontId="6" fillId="0" borderId="7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176" fontId="9" fillId="0" borderId="7" xfId="0" applyFont="1" applyBorder="1" applyAlignment="1">
      <alignment horizontal="center" vertical="center" shrinkToFit="1"/>
    </xf>
    <xf numFmtId="177" fontId="10" fillId="0" borderId="11" xfId="0" applyNumberFormat="1" applyFont="1" applyBorder="1" applyAlignment="1">
      <alignment horizontal="right" vertical="center"/>
    </xf>
    <xf numFmtId="49" fontId="11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49" fontId="12" fillId="0" borderId="10" xfId="0" applyNumberFormat="1" applyFont="1" applyBorder="1" applyAlignment="1">
      <alignment horizontal="center" vertical="center"/>
    </xf>
    <xf numFmtId="176" fontId="13" fillId="0" borderId="11" xfId="0" applyFont="1" applyBorder="1" applyAlignment="1">
      <alignment horizontal="center" vertical="center"/>
    </xf>
    <xf numFmtId="176" fontId="14" fillId="0" borderId="11" xfId="0" applyFont="1" applyBorder="1" applyAlignment="1">
      <alignment horizontal="center" vertical="center" shrinkToFit="1"/>
    </xf>
    <xf numFmtId="177" fontId="13" fillId="0" borderId="11" xfId="0" applyNumberFormat="1" applyFont="1" applyBorder="1" applyAlignment="1">
      <alignment horizontal="right" vertical="center"/>
    </xf>
    <xf numFmtId="177" fontId="10" fillId="0" borderId="7" xfId="0" applyNumberFormat="1" applyFont="1" applyBorder="1" applyAlignment="1">
      <alignment horizontal="right" vertical="center"/>
    </xf>
    <xf numFmtId="176" fontId="13" fillId="0" borderId="11" xfId="0" applyFont="1" applyBorder="1" applyAlignment="1">
      <alignment horizontal="center" vertical="center" shrinkToFit="1"/>
    </xf>
    <xf numFmtId="49" fontId="15" fillId="0" borderId="11" xfId="0" applyNumberFormat="1" applyFont="1" applyBorder="1" applyAlignment="1">
      <alignment horizontal="right" vertical="center"/>
    </xf>
    <xf numFmtId="177" fontId="6" fillId="0" borderId="7" xfId="0" applyNumberFormat="1" applyFont="1" applyBorder="1" applyAlignment="1">
      <alignment horizontal="right" vertical="center" shrinkToFit="1"/>
    </xf>
    <xf numFmtId="10" fontId="6" fillId="0" borderId="11" xfId="0" applyNumberFormat="1" applyFont="1" applyBorder="1" applyAlignment="1">
      <alignment horizontal="center" vertical="center" shrinkToFit="1"/>
    </xf>
    <xf numFmtId="49" fontId="13" fillId="0" borderId="10" xfId="0" applyNumberFormat="1" applyFont="1" applyBorder="1" applyAlignment="1">
      <alignment horizontal="center" vertical="center"/>
    </xf>
    <xf numFmtId="10" fontId="13" fillId="0" borderId="11" xfId="0" applyNumberFormat="1" applyFont="1" applyBorder="1" applyAlignment="1">
      <alignment horizontal="center" vertical="center" shrinkToFit="1"/>
    </xf>
    <xf numFmtId="49" fontId="16" fillId="0" borderId="11" xfId="0" applyNumberFormat="1" applyFont="1" applyBorder="1" applyAlignment="1">
      <alignment horizontal="right" vertical="center"/>
    </xf>
    <xf numFmtId="177" fontId="14" fillId="0" borderId="11" xfId="0" applyNumberFormat="1" applyFont="1" applyBorder="1" applyAlignment="1">
      <alignment horizontal="right" vertical="center" shrinkToFit="1"/>
    </xf>
    <xf numFmtId="177" fontId="14" fillId="0" borderId="11" xfId="0" applyNumberFormat="1" applyFont="1" applyBorder="1" applyAlignment="1">
      <alignment horizontal="center" vertical="center" shrinkToFit="1"/>
    </xf>
    <xf numFmtId="49" fontId="13" fillId="0" borderId="11" xfId="0" applyNumberFormat="1" applyFont="1" applyBorder="1" applyAlignment="1">
      <alignment horizontal="right" vertical="center"/>
    </xf>
    <xf numFmtId="176" fontId="6" fillId="0" borderId="11" xfId="0" applyFont="1" applyBorder="1" applyAlignment="1">
      <alignment horizontal="center" vertical="center"/>
    </xf>
    <xf numFmtId="176" fontId="14" fillId="3" borderId="11" xfId="0" applyFont="1" applyFill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right" vertical="center"/>
    </xf>
    <xf numFmtId="177" fontId="6" fillId="0" borderId="7" xfId="0" applyNumberFormat="1" applyFont="1" applyBorder="1" applyAlignment="1">
      <alignment vertical="center" shrinkToFit="1"/>
    </xf>
    <xf numFmtId="10" fontId="6" fillId="0" borderId="11" xfId="0" applyNumberFormat="1" applyFont="1" applyBorder="1" applyAlignment="1">
      <alignment horizontal="right" vertical="center"/>
    </xf>
    <xf numFmtId="176" fontId="13" fillId="0" borderId="11" xfId="0" applyNumberFormat="1" applyFont="1" applyBorder="1" applyAlignment="1">
      <alignment horizontal="center" vertical="center"/>
    </xf>
    <xf numFmtId="10" fontId="13" fillId="0" borderId="11" xfId="0" applyNumberFormat="1" applyFont="1" applyBorder="1" applyAlignment="1">
      <alignment horizontal="right" vertical="center"/>
    </xf>
    <xf numFmtId="176" fontId="14" fillId="0" borderId="14" xfId="0" applyFont="1" applyBorder="1" applyAlignment="1">
      <alignment horizontal="center" vertical="center" shrinkToFit="1"/>
    </xf>
    <xf numFmtId="177" fontId="5" fillId="0" borderId="18" xfId="0" applyNumberFormat="1" applyFont="1" applyBorder="1" applyAlignment="1">
      <alignment horizontal="center" vertical="center"/>
    </xf>
    <xf numFmtId="176" fontId="5" fillId="0" borderId="18" xfId="0" applyFont="1" applyBorder="1" applyAlignment="1">
      <alignment horizontal="center" vertical="center"/>
    </xf>
    <xf numFmtId="177" fontId="17" fillId="0" borderId="20" xfId="0" applyNumberFormat="1" applyFont="1" applyFill="1" applyBorder="1" applyAlignment="1">
      <alignment horizontal="right" vertical="center" wrapText="1"/>
    </xf>
    <xf numFmtId="177" fontId="17" fillId="0" borderId="14" xfId="0" applyNumberFormat="1" applyFont="1" applyFill="1" applyBorder="1" applyAlignment="1">
      <alignment horizontal="right" vertical="center" wrapText="1"/>
    </xf>
    <xf numFmtId="177" fontId="13" fillId="0" borderId="11" xfId="0" applyNumberFormat="1" applyFont="1" applyBorder="1" applyAlignment="1">
      <alignment horizontal="right" vertical="center" wrapText="1"/>
    </xf>
    <xf numFmtId="177" fontId="6" fillId="0" borderId="0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177" fontId="17" fillId="0" borderId="21" xfId="0" applyNumberFormat="1" applyFont="1" applyFill="1" applyBorder="1" applyAlignment="1">
      <alignment horizontal="right" vertical="center" wrapText="1"/>
    </xf>
    <xf numFmtId="177" fontId="17" fillId="0" borderId="11" xfId="0" applyNumberFormat="1" applyFont="1" applyFill="1" applyBorder="1" applyAlignment="1">
      <alignment horizontal="right" vertical="center" wrapText="1"/>
    </xf>
    <xf numFmtId="177" fontId="6" fillId="0" borderId="27" xfId="0" applyNumberFormat="1" applyFont="1" applyBorder="1" applyAlignment="1">
      <alignment horizontal="right" vertical="center"/>
    </xf>
    <xf numFmtId="177" fontId="6" fillId="0" borderId="28" xfId="0" applyNumberFormat="1" applyFont="1" applyBorder="1" applyAlignment="1">
      <alignment horizontal="center" vertical="center"/>
    </xf>
    <xf numFmtId="177" fontId="6" fillId="0" borderId="31" xfId="0" applyNumberFormat="1" applyFont="1" applyBorder="1" applyAlignment="1">
      <alignment horizontal="center" vertical="center"/>
    </xf>
    <xf numFmtId="177" fontId="13" fillId="0" borderId="27" xfId="0" applyNumberFormat="1" applyFont="1" applyBorder="1" applyAlignment="1">
      <alignment horizontal="right" vertical="center"/>
    </xf>
    <xf numFmtId="177" fontId="15" fillId="0" borderId="31" xfId="0" applyNumberFormat="1" applyFont="1" applyBorder="1" applyAlignment="1">
      <alignment horizontal="center" vertical="center"/>
    </xf>
    <xf numFmtId="177" fontId="19" fillId="0" borderId="11" xfId="0" applyNumberFormat="1" applyFont="1" applyBorder="1" applyAlignment="1">
      <alignment horizontal="right" vertical="center"/>
    </xf>
    <xf numFmtId="177" fontId="20" fillId="0" borderId="31" xfId="0" applyNumberFormat="1" applyFont="1" applyBorder="1" applyAlignment="1">
      <alignment horizontal="center" vertical="center"/>
    </xf>
    <xf numFmtId="177" fontId="21" fillId="0" borderId="0" xfId="0" applyNumberFormat="1" applyFont="1">
      <alignment vertical="center"/>
    </xf>
    <xf numFmtId="177" fontId="22" fillId="0" borderId="11" xfId="0" applyNumberFormat="1" applyFont="1" applyBorder="1" applyAlignment="1">
      <alignment horizontal="right" vertical="center"/>
    </xf>
    <xf numFmtId="177" fontId="13" fillId="0" borderId="31" xfId="0" applyNumberFormat="1" applyFont="1" applyBorder="1" applyAlignment="1">
      <alignment horizontal="right" vertical="center"/>
    </xf>
    <xf numFmtId="10" fontId="0" fillId="0" borderId="0" xfId="0" applyNumberFormat="1" applyFont="1">
      <alignment vertical="center"/>
    </xf>
    <xf numFmtId="177" fontId="6" fillId="0" borderId="22" xfId="0" applyNumberFormat="1" applyFont="1" applyBorder="1" applyAlignment="1">
      <alignment horizontal="right" vertical="center"/>
    </xf>
    <xf numFmtId="177" fontId="6" fillId="0" borderId="32" xfId="0" applyNumberFormat="1" applyFont="1" applyBorder="1" applyAlignment="1">
      <alignment horizontal="right" vertical="center"/>
    </xf>
    <xf numFmtId="177" fontId="13" fillId="0" borderId="13" xfId="0" applyNumberFormat="1" applyFont="1" applyBorder="1" applyAlignment="1">
      <alignment horizontal="right" vertical="center"/>
    </xf>
    <xf numFmtId="177" fontId="13" fillId="0" borderId="28" xfId="0" applyNumberFormat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right" vertical="center"/>
    </xf>
    <xf numFmtId="177" fontId="10" fillId="0" borderId="22" xfId="0" applyNumberFormat="1" applyFont="1" applyBorder="1" applyAlignment="1">
      <alignment horizontal="right" vertical="center"/>
    </xf>
    <xf numFmtId="49" fontId="13" fillId="0" borderId="8" xfId="0" applyNumberFormat="1" applyFont="1" applyBorder="1" applyAlignment="1">
      <alignment horizontal="center" vertical="center"/>
    </xf>
    <xf numFmtId="176" fontId="13" fillId="0" borderId="9" xfId="0" applyNumberFormat="1" applyFont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shrinkToFit="1"/>
    </xf>
    <xf numFmtId="176" fontId="6" fillId="0" borderId="9" xfId="0" applyFont="1" applyBorder="1" applyAlignment="1">
      <alignment horizontal="center" vertical="center"/>
    </xf>
    <xf numFmtId="176" fontId="6" fillId="0" borderId="29" xfId="0" applyFont="1" applyBorder="1" applyAlignment="1">
      <alignment horizontal="center" vertical="center"/>
    </xf>
    <xf numFmtId="176" fontId="23" fillId="0" borderId="7" xfId="0" applyFont="1" applyBorder="1" applyAlignment="1">
      <alignment horizontal="center" vertical="center" shrinkToFit="1"/>
    </xf>
    <xf numFmtId="177" fontId="13" fillId="0" borderId="7" xfId="0" applyNumberFormat="1" applyFont="1" applyBorder="1" applyAlignment="1">
      <alignment horizontal="right" vertical="center"/>
    </xf>
    <xf numFmtId="177" fontId="17" fillId="0" borderId="35" xfId="0" applyNumberFormat="1" applyFont="1" applyFill="1" applyBorder="1" applyAlignment="1">
      <alignment horizontal="right" vertical="center" wrapText="1"/>
    </xf>
    <xf numFmtId="177" fontId="17" fillId="0" borderId="36" xfId="0" applyNumberFormat="1" applyFont="1" applyFill="1" applyBorder="1" applyAlignment="1">
      <alignment horizontal="right" vertical="center" wrapText="1"/>
    </xf>
    <xf numFmtId="177" fontId="17" fillId="0" borderId="7" xfId="0" applyNumberFormat="1" applyFont="1" applyFill="1" applyBorder="1" applyAlignment="1">
      <alignment horizontal="right" vertical="center" wrapText="1"/>
    </xf>
    <xf numFmtId="177" fontId="14" fillId="3" borderId="11" xfId="0" applyNumberFormat="1" applyFont="1" applyFill="1" applyBorder="1" applyAlignment="1">
      <alignment horizontal="center" vertical="center" shrinkToFit="1"/>
    </xf>
    <xf numFmtId="177" fontId="13" fillId="3" borderId="11" xfId="1" applyNumberFormat="1" applyFont="1" applyFill="1" applyBorder="1" applyAlignment="1">
      <alignment horizontal="right" vertical="center" wrapText="1"/>
    </xf>
    <xf numFmtId="177" fontId="17" fillId="0" borderId="0" xfId="0" applyNumberFormat="1" applyFont="1" applyFill="1" applyBorder="1" applyAlignment="1">
      <alignment horizontal="right" vertical="center" wrapText="1"/>
    </xf>
    <xf numFmtId="177" fontId="17" fillId="0" borderId="37" xfId="0" applyNumberFormat="1" applyFont="1" applyFill="1" applyBorder="1" applyAlignment="1">
      <alignment horizontal="right" vertical="center" wrapText="1"/>
    </xf>
    <xf numFmtId="177" fontId="17" fillId="0" borderId="38" xfId="0" applyNumberFormat="1" applyFont="1" applyFill="1" applyBorder="1" applyAlignment="1">
      <alignment horizontal="right" vertical="center" wrapText="1"/>
    </xf>
    <xf numFmtId="177" fontId="24" fillId="0" borderId="11" xfId="0" applyNumberFormat="1" applyFont="1" applyBorder="1" applyAlignment="1">
      <alignment horizontal="right" vertical="center"/>
    </xf>
    <xf numFmtId="177" fontId="24" fillId="0" borderId="22" xfId="0" applyNumberFormat="1" applyFont="1" applyBorder="1" applyAlignment="1">
      <alignment horizontal="right" vertical="center"/>
    </xf>
    <xf numFmtId="177" fontId="25" fillId="0" borderId="11" xfId="0" applyNumberFormat="1" applyFont="1" applyBorder="1" applyAlignment="1">
      <alignment horizontal="right" vertical="center"/>
    </xf>
    <xf numFmtId="177" fontId="25" fillId="0" borderId="22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26" fillId="0" borderId="11" xfId="0" applyNumberFormat="1" applyFont="1" applyBorder="1" applyAlignment="1">
      <alignment horizontal="right" vertical="center"/>
    </xf>
    <xf numFmtId="177" fontId="26" fillId="0" borderId="22" xfId="0" applyNumberFormat="1" applyFont="1" applyBorder="1" applyAlignment="1">
      <alignment horizontal="right" vertical="center"/>
    </xf>
    <xf numFmtId="177" fontId="13" fillId="0" borderId="9" xfId="0" applyNumberFormat="1" applyFont="1" applyBorder="1" applyAlignment="1">
      <alignment horizontal="right" vertical="center"/>
    </xf>
    <xf numFmtId="177" fontId="26" fillId="0" borderId="9" xfId="0" applyNumberFormat="1" applyFont="1" applyBorder="1" applyAlignment="1">
      <alignment horizontal="right" vertical="center"/>
    </xf>
    <xf numFmtId="177" fontId="13" fillId="0" borderId="29" xfId="0" applyNumberFormat="1" applyFont="1" applyBorder="1" applyAlignment="1">
      <alignment horizontal="right" vertical="center"/>
    </xf>
    <xf numFmtId="177" fontId="26" fillId="0" borderId="29" xfId="0" applyNumberFormat="1" applyFont="1" applyBorder="1" applyAlignment="1">
      <alignment horizontal="right" vertical="center"/>
    </xf>
    <xf numFmtId="177" fontId="20" fillId="0" borderId="30" xfId="0" applyNumberFormat="1" applyFont="1" applyBorder="1" applyAlignment="1">
      <alignment horizontal="center" vertical="center"/>
    </xf>
    <xf numFmtId="177" fontId="20" fillId="0" borderId="29" xfId="0" applyNumberFormat="1" applyFont="1" applyBorder="1" applyAlignment="1">
      <alignment horizontal="center" vertical="center"/>
    </xf>
    <xf numFmtId="177" fontId="27" fillId="0" borderId="11" xfId="0" applyNumberFormat="1" applyFont="1" applyBorder="1" applyAlignment="1">
      <alignment horizontal="right" vertical="center"/>
    </xf>
    <xf numFmtId="177" fontId="28" fillId="0" borderId="11" xfId="0" applyNumberFormat="1" applyFont="1" applyBorder="1" applyAlignment="1">
      <alignment horizontal="right" vertical="center"/>
    </xf>
    <xf numFmtId="177" fontId="28" fillId="0" borderId="22" xfId="0" applyNumberFormat="1" applyFont="1" applyBorder="1" applyAlignment="1">
      <alignment horizontal="right" vertical="center"/>
    </xf>
    <xf numFmtId="177" fontId="10" fillId="0" borderId="9" xfId="0" applyNumberFormat="1" applyFont="1" applyBorder="1" applyAlignment="1">
      <alignment horizontal="right" vertical="center"/>
    </xf>
    <xf numFmtId="177" fontId="15" fillId="0" borderId="9" xfId="0" applyNumberFormat="1" applyFont="1" applyBorder="1" applyAlignment="1">
      <alignment horizontal="center" vertical="center"/>
    </xf>
    <xf numFmtId="176" fontId="29" fillId="0" borderId="11" xfId="0" applyFont="1" applyBorder="1" applyAlignment="1">
      <alignment horizontal="center" vertical="center" shrinkToFit="1"/>
    </xf>
    <xf numFmtId="176" fontId="30" fillId="0" borderId="11" xfId="0" applyFont="1" applyBorder="1" applyAlignment="1">
      <alignment horizontal="center" vertical="center" shrinkToFit="1"/>
    </xf>
    <xf numFmtId="49" fontId="14" fillId="0" borderId="11" xfId="0" applyNumberFormat="1" applyFont="1" applyBorder="1" applyAlignment="1">
      <alignment horizontal="center" vertical="center" shrinkToFit="1"/>
    </xf>
    <xf numFmtId="49" fontId="13" fillId="0" borderId="39" xfId="0" applyNumberFormat="1" applyFont="1" applyBorder="1" applyAlignment="1">
      <alignment horizontal="center" vertical="center"/>
    </xf>
    <xf numFmtId="176" fontId="13" fillId="0" borderId="34" xfId="0" applyFont="1" applyBorder="1" applyAlignment="1">
      <alignment horizontal="center" vertical="center"/>
    </xf>
    <xf numFmtId="176" fontId="14" fillId="0" borderId="34" xfId="0" applyFont="1" applyBorder="1" applyAlignment="1">
      <alignment horizontal="center" vertical="center" shrinkToFit="1"/>
    </xf>
    <xf numFmtId="176" fontId="29" fillId="0" borderId="34" xfId="0" applyFont="1" applyBorder="1" applyAlignment="1">
      <alignment horizontal="center" vertical="center" shrinkToFit="1"/>
    </xf>
    <xf numFmtId="10" fontId="13" fillId="0" borderId="34" xfId="0" applyNumberFormat="1" applyFont="1" applyBorder="1" applyAlignment="1">
      <alignment horizontal="right" vertical="center"/>
    </xf>
    <xf numFmtId="49" fontId="15" fillId="0" borderId="34" xfId="0" applyNumberFormat="1" applyFont="1" applyBorder="1" applyAlignment="1">
      <alignment horizontal="right" vertical="center"/>
    </xf>
    <xf numFmtId="49" fontId="13" fillId="0" borderId="6" xfId="0" applyNumberFormat="1" applyFont="1" applyBorder="1" applyAlignment="1">
      <alignment horizontal="center" vertical="center"/>
    </xf>
    <xf numFmtId="176" fontId="13" fillId="0" borderId="7" xfId="0" applyFont="1" applyBorder="1" applyAlignment="1">
      <alignment horizontal="center" vertical="center"/>
    </xf>
    <xf numFmtId="176" fontId="14" fillId="0" borderId="7" xfId="0" applyFont="1" applyBorder="1" applyAlignment="1">
      <alignment horizontal="center" vertical="center" shrinkToFit="1"/>
    </xf>
    <xf numFmtId="176" fontId="29" fillId="0" borderId="7" xfId="0" applyFont="1" applyBorder="1" applyAlignment="1">
      <alignment horizontal="center" vertical="center" shrinkToFit="1"/>
    </xf>
    <xf numFmtId="10" fontId="13" fillId="0" borderId="7" xfId="0" applyNumberFormat="1" applyFont="1" applyBorder="1" applyAlignment="1">
      <alignment horizontal="right" vertical="center"/>
    </xf>
    <xf numFmtId="49" fontId="15" fillId="0" borderId="7" xfId="0" applyNumberFormat="1" applyFont="1" applyBorder="1" applyAlignment="1">
      <alignment horizontal="right" vertical="center"/>
    </xf>
    <xf numFmtId="14" fontId="13" fillId="0" borderId="11" xfId="0" applyNumberFormat="1" applyFont="1" applyBorder="1" applyAlignment="1">
      <alignment horizontal="center" vertical="center"/>
    </xf>
    <xf numFmtId="14" fontId="14" fillId="0" borderId="11" xfId="0" applyNumberFormat="1" applyFont="1" applyBorder="1" applyAlignment="1">
      <alignment horizontal="center" vertical="center" shrinkToFit="1"/>
    </xf>
    <xf numFmtId="177" fontId="13" fillId="0" borderId="34" xfId="0" applyNumberFormat="1" applyFont="1" applyBorder="1" applyAlignment="1">
      <alignment horizontal="right" vertical="center" wrapText="1"/>
    </xf>
    <xf numFmtId="177" fontId="17" fillId="0" borderId="40" xfId="0" applyNumberFormat="1" applyFont="1" applyFill="1" applyBorder="1" applyAlignment="1">
      <alignment horizontal="right" vertical="center" wrapText="1"/>
    </xf>
    <xf numFmtId="177" fontId="17" fillId="0" borderId="41" xfId="0" applyNumberFormat="1" applyFont="1" applyFill="1" applyBorder="1" applyAlignment="1">
      <alignment horizontal="right" vertical="center" wrapText="1"/>
    </xf>
    <xf numFmtId="177" fontId="17" fillId="0" borderId="22" xfId="0" applyNumberFormat="1" applyFont="1" applyFill="1" applyBorder="1" applyAlignment="1">
      <alignment horizontal="right" vertical="center" wrapText="1"/>
    </xf>
    <xf numFmtId="177" fontId="13" fillId="0" borderId="7" xfId="0" applyNumberFormat="1" applyFont="1" applyBorder="1" applyAlignment="1">
      <alignment horizontal="right" vertical="center" wrapText="1"/>
    </xf>
    <xf numFmtId="177" fontId="14" fillId="0" borderId="22" xfId="0" applyNumberFormat="1" applyFont="1" applyBorder="1" applyAlignment="1">
      <alignment horizontal="center" vertical="center" shrinkToFit="1"/>
    </xf>
    <xf numFmtId="177" fontId="14" fillId="0" borderId="0" xfId="0" applyNumberFormat="1" applyFont="1" applyBorder="1" applyAlignment="1">
      <alignment horizontal="center" vertical="center" shrinkToFit="1"/>
    </xf>
    <xf numFmtId="176" fontId="14" fillId="0" borderId="22" xfId="0" applyFont="1" applyBorder="1" applyAlignment="1">
      <alignment horizontal="center" vertical="center" shrinkToFit="1"/>
    </xf>
    <xf numFmtId="176" fontId="29" fillId="0" borderId="22" xfId="0" applyFont="1" applyBorder="1" applyAlignment="1">
      <alignment horizontal="center" vertical="center" shrinkToFit="1"/>
    </xf>
    <xf numFmtId="177" fontId="28" fillId="0" borderId="34" xfId="0" applyNumberFormat="1" applyFont="1" applyBorder="1" applyAlignment="1">
      <alignment horizontal="right" vertical="center"/>
    </xf>
    <xf numFmtId="177" fontId="13" fillId="0" borderId="32" xfId="0" applyNumberFormat="1" applyFont="1" applyBorder="1" applyAlignment="1">
      <alignment horizontal="right" vertical="center"/>
    </xf>
    <xf numFmtId="177" fontId="28" fillId="0" borderId="32" xfId="0" applyNumberFormat="1" applyFont="1" applyBorder="1" applyAlignment="1">
      <alignment horizontal="right" vertical="center"/>
    </xf>
    <xf numFmtId="177" fontId="13" fillId="0" borderId="42" xfId="0" applyNumberFormat="1" applyFont="1" applyBorder="1" applyAlignment="1">
      <alignment horizontal="right" vertical="center"/>
    </xf>
    <xf numFmtId="177" fontId="15" fillId="0" borderId="0" xfId="0" applyNumberFormat="1" applyFont="1" applyBorder="1" applyAlignment="1">
      <alignment horizontal="center" vertical="center"/>
    </xf>
    <xf numFmtId="177" fontId="28" fillId="0" borderId="7" xfId="0" applyNumberFormat="1" applyFont="1" applyBorder="1" applyAlignment="1">
      <alignment horizontal="right" vertical="center"/>
    </xf>
    <xf numFmtId="177" fontId="13" fillId="0" borderId="43" xfId="0" applyNumberFormat="1" applyFont="1" applyBorder="1" applyAlignment="1">
      <alignment horizontal="right" vertical="center"/>
    </xf>
    <xf numFmtId="177" fontId="28" fillId="0" borderId="43" xfId="0" applyNumberFormat="1" applyFont="1" applyBorder="1" applyAlignment="1">
      <alignment horizontal="right" vertical="center"/>
    </xf>
    <xf numFmtId="177" fontId="13" fillId="0" borderId="44" xfId="0" applyNumberFormat="1" applyFont="1" applyBorder="1" applyAlignment="1">
      <alignment horizontal="right" vertical="center"/>
    </xf>
    <xf numFmtId="14" fontId="6" fillId="0" borderId="11" xfId="0" applyNumberFormat="1" applyFont="1" applyBorder="1" applyAlignment="1">
      <alignment horizontal="center" vertical="center"/>
    </xf>
    <xf numFmtId="176" fontId="14" fillId="3" borderId="11" xfId="0" applyNumberFormat="1" applyFont="1" applyFill="1" applyBorder="1" applyAlignment="1">
      <alignment horizontal="center" vertical="center" shrinkToFit="1"/>
    </xf>
    <xf numFmtId="177" fontId="14" fillId="3" borderId="11" xfId="0" applyNumberFormat="1" applyFont="1" applyFill="1" applyBorder="1" applyAlignment="1">
      <alignment horizontal="right" vertical="center" shrinkToFit="1"/>
    </xf>
    <xf numFmtId="49" fontId="13" fillId="0" borderId="10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176" fontId="14" fillId="0" borderId="9" xfId="0" applyFont="1" applyBorder="1" applyAlignment="1">
      <alignment horizontal="center" vertical="center" shrinkToFit="1"/>
    </xf>
    <xf numFmtId="177" fontId="10" fillId="0" borderId="31" xfId="0" applyNumberFormat="1" applyFont="1" applyBorder="1" applyAlignment="1">
      <alignment horizontal="right" vertical="center"/>
    </xf>
    <xf numFmtId="177" fontId="31" fillId="0" borderId="11" xfId="0" applyNumberFormat="1" applyFont="1" applyBorder="1" applyAlignment="1">
      <alignment horizontal="right" vertical="center"/>
    </xf>
    <xf numFmtId="177" fontId="32" fillId="0" borderId="11" xfId="0" applyNumberFormat="1" applyFont="1" applyBorder="1" applyAlignment="1">
      <alignment horizontal="right" vertical="center"/>
    </xf>
    <xf numFmtId="176" fontId="15" fillId="0" borderId="0" xfId="0" applyFont="1" applyBorder="1" applyAlignment="1">
      <alignment horizontal="right" vertical="center"/>
    </xf>
    <xf numFmtId="4" fontId="7" fillId="0" borderId="7" xfId="0" applyNumberFormat="1" applyFont="1" applyBorder="1" applyAlignment="1">
      <alignment horizontal="center" vertical="center" shrinkToFit="1"/>
    </xf>
    <xf numFmtId="177" fontId="13" fillId="0" borderId="14" xfId="0" applyNumberFormat="1" applyFont="1" applyBorder="1" applyAlignment="1">
      <alignment horizontal="right" vertical="center"/>
    </xf>
    <xf numFmtId="177" fontId="13" fillId="0" borderId="8" xfId="0" applyNumberFormat="1" applyFont="1" applyBorder="1" applyAlignment="1">
      <alignment horizontal="right" vertical="center"/>
    </xf>
    <xf numFmtId="177" fontId="13" fillId="0" borderId="10" xfId="0" applyNumberFormat="1" applyFont="1" applyBorder="1" applyAlignment="1">
      <alignment horizontal="right" vertical="center"/>
    </xf>
    <xf numFmtId="49" fontId="13" fillId="0" borderId="45" xfId="0" applyNumberFormat="1" applyFont="1" applyBorder="1" applyAlignment="1">
      <alignment horizontal="center" vertical="center"/>
    </xf>
    <xf numFmtId="176" fontId="13" fillId="0" borderId="18" xfId="0" applyFont="1" applyBorder="1" applyAlignment="1">
      <alignment horizontal="center" vertical="center"/>
    </xf>
    <xf numFmtId="176" fontId="14" fillId="0" borderId="18" xfId="0" applyFont="1" applyBorder="1" applyAlignment="1">
      <alignment horizontal="center" vertical="center" shrinkToFit="1"/>
    </xf>
    <xf numFmtId="177" fontId="13" fillId="0" borderId="18" xfId="0" applyNumberFormat="1" applyFont="1" applyBorder="1" applyAlignment="1">
      <alignment horizontal="right" vertical="center"/>
    </xf>
    <xf numFmtId="10" fontId="13" fillId="0" borderId="18" xfId="0" applyNumberFormat="1" applyFont="1" applyBorder="1" applyAlignment="1">
      <alignment horizontal="right" vertical="center"/>
    </xf>
    <xf numFmtId="49" fontId="10" fillId="0" borderId="18" xfId="0" applyNumberFormat="1" applyFont="1" applyBorder="1" applyAlignment="1">
      <alignment horizontal="right" vertical="center"/>
    </xf>
    <xf numFmtId="176" fontId="0" fillId="0" borderId="0" xfId="0" applyFont="1" applyBorder="1" applyAlignment="1">
      <alignment vertical="center" shrinkToFit="1"/>
    </xf>
    <xf numFmtId="177" fontId="0" fillId="0" borderId="0" xfId="0" applyNumberFormat="1" applyFont="1" applyBorder="1" applyAlignment="1">
      <alignment horizontal="right" vertical="center" shrinkToFit="1"/>
    </xf>
    <xf numFmtId="177" fontId="0" fillId="0" borderId="0" xfId="0" applyNumberFormat="1" applyFont="1" applyBorder="1" applyAlignment="1">
      <alignment vertical="center" shrinkToFit="1"/>
    </xf>
    <xf numFmtId="49" fontId="0" fillId="0" borderId="0" xfId="0" applyNumberFormat="1" applyFont="1" applyBorder="1">
      <alignment vertical="center"/>
    </xf>
    <xf numFmtId="176" fontId="0" fillId="0" borderId="0" xfId="0" applyFont="1" applyBorder="1">
      <alignment vertical="center"/>
    </xf>
    <xf numFmtId="177" fontId="0" fillId="0" borderId="0" xfId="0" applyNumberFormat="1" applyFont="1" applyBorder="1">
      <alignment vertical="center"/>
    </xf>
    <xf numFmtId="177" fontId="13" fillId="0" borderId="47" xfId="0" applyNumberFormat="1" applyFont="1" applyBorder="1" applyAlignment="1">
      <alignment horizontal="right" vertical="center"/>
    </xf>
    <xf numFmtId="177" fontId="15" fillId="0" borderId="48" xfId="0" applyNumberFormat="1" applyFont="1" applyBorder="1" applyAlignment="1">
      <alignment horizontal="center" vertical="center"/>
    </xf>
    <xf numFmtId="176" fontId="0" fillId="0" borderId="0" xfId="0" applyFont="1" applyBorder="1" applyAlignment="1">
      <alignment horizontal="center" vertical="center"/>
    </xf>
    <xf numFmtId="177" fontId="0" fillId="0" borderId="0" xfId="0" applyNumberFormat="1" applyFont="1" applyAlignment="1">
      <alignment horizontal="right" vertical="center"/>
    </xf>
    <xf numFmtId="177" fontId="7" fillId="0" borderId="7" xfId="0" applyNumberFormat="1" applyFont="1" applyBorder="1" applyAlignment="1">
      <alignment horizontal="right" vertical="center" shrinkToFit="1"/>
    </xf>
    <xf numFmtId="177" fontId="7" fillId="0" borderId="7" xfId="0" applyNumberFormat="1" applyFont="1" applyBorder="1" applyAlignment="1">
      <alignment horizontal="center" vertical="center" shrinkToFit="1"/>
    </xf>
    <xf numFmtId="177" fontId="13" fillId="0" borderId="22" xfId="0" applyNumberFormat="1" applyFont="1" applyBorder="1" applyAlignment="1">
      <alignment horizontal="right" vertical="center"/>
    </xf>
    <xf numFmtId="49" fontId="13" fillId="0" borderId="33" xfId="0" applyNumberFormat="1" applyFont="1" applyBorder="1" applyAlignment="1">
      <alignment horizontal="center" vertical="center"/>
    </xf>
    <xf numFmtId="176" fontId="14" fillId="3" borderId="34" xfId="0" applyFont="1" applyFill="1" applyBorder="1" applyAlignment="1">
      <alignment horizontal="center" vertical="center" shrinkToFit="1"/>
    </xf>
    <xf numFmtId="177" fontId="13" fillId="0" borderId="34" xfId="0" applyNumberFormat="1" applyFont="1" applyBorder="1" applyAlignment="1">
      <alignment horizontal="right" vertical="center"/>
    </xf>
    <xf numFmtId="49" fontId="13" fillId="0" borderId="34" xfId="0" applyNumberFormat="1" applyFont="1" applyBorder="1" applyAlignment="1">
      <alignment horizontal="right" vertical="center"/>
    </xf>
    <xf numFmtId="177" fontId="26" fillId="0" borderId="34" xfId="0" applyNumberFormat="1" applyFont="1" applyBorder="1" applyAlignment="1">
      <alignment horizontal="right" vertical="center"/>
    </xf>
    <xf numFmtId="49" fontId="40" fillId="0" borderId="0" xfId="0" applyNumberFormat="1" applyFont="1">
      <alignment vertical="center"/>
    </xf>
    <xf numFmtId="176" fontId="42" fillId="0" borderId="0" xfId="0" applyFont="1">
      <alignment vertical="center"/>
    </xf>
    <xf numFmtId="10" fontId="0" fillId="0" borderId="0" xfId="2" applyNumberFormat="1" applyFont="1">
      <alignment vertical="center"/>
    </xf>
    <xf numFmtId="49" fontId="39" fillId="0" borderId="6" xfId="0" applyNumberFormat="1" applyFont="1" applyBorder="1" applyAlignment="1">
      <alignment horizontal="center" vertical="center"/>
    </xf>
    <xf numFmtId="177" fontId="27" fillId="0" borderId="7" xfId="0" applyNumberFormat="1" applyFont="1" applyBorder="1" applyAlignment="1">
      <alignment horizontal="right" vertical="center"/>
    </xf>
    <xf numFmtId="176" fontId="39" fillId="0" borderId="0" xfId="0" applyFont="1">
      <alignment vertical="center"/>
    </xf>
    <xf numFmtId="177" fontId="44" fillId="0" borderId="0" xfId="0" applyNumberFormat="1" applyFont="1">
      <alignment vertical="center"/>
    </xf>
    <xf numFmtId="177" fontId="39" fillId="0" borderId="0" xfId="0" applyNumberFormat="1" applyFont="1">
      <alignment vertical="center"/>
    </xf>
    <xf numFmtId="176" fontId="2" fillId="2" borderId="31" xfId="0" applyFont="1" applyFill="1" applyBorder="1" applyAlignment="1">
      <alignment vertical="center"/>
    </xf>
    <xf numFmtId="177" fontId="13" fillId="0" borderId="11" xfId="3" applyNumberFormat="1" applyFont="1" applyBorder="1" applyAlignment="1">
      <alignment horizontal="right" vertical="center"/>
    </xf>
    <xf numFmtId="176" fontId="7" fillId="0" borderId="7" xfId="3" applyFont="1" applyBorder="1" applyAlignment="1">
      <alignment horizontal="center" vertical="center" shrinkToFit="1"/>
    </xf>
    <xf numFmtId="177" fontId="45" fillId="0" borderId="11" xfId="0" applyNumberFormat="1" applyFont="1" applyBorder="1" applyAlignment="1">
      <alignment horizontal="right" vertical="center"/>
    </xf>
    <xf numFmtId="177" fontId="46" fillId="0" borderId="20" xfId="0" applyNumberFormat="1" applyFont="1" applyFill="1" applyBorder="1" applyAlignment="1">
      <alignment horizontal="right" vertical="center" wrapText="1"/>
    </xf>
    <xf numFmtId="177" fontId="46" fillId="0" borderId="11" xfId="0" applyNumberFormat="1" applyFont="1" applyBorder="1" applyAlignment="1">
      <alignment horizontal="right" vertical="center"/>
    </xf>
    <xf numFmtId="177" fontId="45" fillId="0" borderId="0" xfId="0" applyNumberFormat="1" applyFont="1" applyBorder="1" applyAlignment="1">
      <alignment horizontal="right" vertical="center"/>
    </xf>
    <xf numFmtId="176" fontId="2" fillId="2" borderId="28" xfId="0" applyFont="1" applyFill="1" applyBorder="1" applyAlignment="1">
      <alignment vertical="center"/>
    </xf>
    <xf numFmtId="177" fontId="46" fillId="0" borderId="21" xfId="0" applyNumberFormat="1" applyFont="1" applyFill="1" applyBorder="1" applyAlignment="1">
      <alignment horizontal="right" vertical="center" wrapText="1"/>
    </xf>
    <xf numFmtId="177" fontId="17" fillId="0" borderId="49" xfId="0" applyNumberFormat="1" applyFont="1" applyFill="1" applyBorder="1" applyAlignment="1">
      <alignment horizontal="right" vertical="center" wrapText="1"/>
    </xf>
    <xf numFmtId="177" fontId="46" fillId="0" borderId="0" xfId="0" applyNumberFormat="1" applyFont="1" applyFill="1" applyBorder="1" applyAlignment="1">
      <alignment horizontal="right" vertical="center" wrapText="1"/>
    </xf>
    <xf numFmtId="177" fontId="46" fillId="0" borderId="22" xfId="0" applyNumberFormat="1" applyFont="1" applyBorder="1" applyAlignment="1">
      <alignment horizontal="right" vertical="center"/>
    </xf>
    <xf numFmtId="176" fontId="47" fillId="0" borderId="14" xfId="4" applyFont="1" applyBorder="1" applyAlignment="1">
      <alignment horizontal="center" vertical="center" shrinkToFit="1"/>
    </xf>
    <xf numFmtId="177" fontId="48" fillId="0" borderId="11" xfId="5" applyNumberFormat="1" applyFont="1" applyBorder="1" applyAlignment="1">
      <alignment horizontal="right" vertical="center"/>
    </xf>
    <xf numFmtId="177" fontId="46" fillId="0" borderId="11" xfId="0" applyNumberFormat="1" applyFont="1" applyFill="1" applyBorder="1" applyAlignment="1">
      <alignment horizontal="right" vertical="center" wrapText="1"/>
    </xf>
    <xf numFmtId="177" fontId="46" fillId="0" borderId="36" xfId="0" applyNumberFormat="1" applyFont="1" applyFill="1" applyBorder="1" applyAlignment="1">
      <alignment horizontal="right" vertical="center" wrapText="1"/>
    </xf>
    <xf numFmtId="176" fontId="29" fillId="3" borderId="11" xfId="0" applyFont="1" applyFill="1" applyBorder="1" applyAlignment="1">
      <alignment horizontal="center" vertical="center" shrinkToFit="1"/>
    </xf>
    <xf numFmtId="176" fontId="47" fillId="3" borderId="34" xfId="5" applyFont="1" applyFill="1" applyBorder="1" applyAlignment="1">
      <alignment horizontal="center" vertical="center" shrinkToFit="1"/>
    </xf>
    <xf numFmtId="177" fontId="48" fillId="0" borderId="34" xfId="5" applyNumberFormat="1" applyFont="1" applyBorder="1" applyAlignment="1">
      <alignment horizontal="right" vertical="center"/>
    </xf>
    <xf numFmtId="177" fontId="17" fillId="0" borderId="50" xfId="0" applyNumberFormat="1" applyFont="1" applyFill="1" applyBorder="1" applyAlignment="1">
      <alignment horizontal="right" vertical="center" wrapText="1"/>
    </xf>
    <xf numFmtId="177" fontId="46" fillId="0" borderId="20" xfId="0" applyNumberFormat="1" applyFont="1" applyBorder="1" applyAlignment="1">
      <alignment horizontal="right" vertical="center"/>
    </xf>
    <xf numFmtId="177" fontId="17" fillId="0" borderId="51" xfId="0" applyNumberFormat="1" applyFont="1" applyFill="1" applyBorder="1" applyAlignment="1">
      <alignment horizontal="right" vertical="center" wrapText="1"/>
    </xf>
    <xf numFmtId="177" fontId="46" fillId="0" borderId="52" xfId="0" applyNumberFormat="1" applyFont="1" applyFill="1" applyBorder="1" applyAlignment="1">
      <alignment horizontal="right" vertical="center" wrapText="1"/>
    </xf>
    <xf numFmtId="177" fontId="17" fillId="0" borderId="53" xfId="0" applyNumberFormat="1" applyFont="1" applyFill="1" applyBorder="1" applyAlignment="1">
      <alignment horizontal="right" vertical="center" wrapText="1"/>
    </xf>
    <xf numFmtId="177" fontId="45" fillId="0" borderId="22" xfId="0" applyNumberFormat="1" applyFont="1" applyBorder="1" applyAlignment="1">
      <alignment horizontal="right" vertical="center"/>
    </xf>
    <xf numFmtId="177" fontId="46" fillId="0" borderId="41" xfId="0" applyNumberFormat="1" applyFont="1" applyFill="1" applyBorder="1" applyAlignment="1">
      <alignment horizontal="right" vertical="center" wrapText="1"/>
    </xf>
    <xf numFmtId="177" fontId="46" fillId="0" borderId="22" xfId="0" applyNumberFormat="1" applyFont="1" applyFill="1" applyBorder="1" applyAlignment="1">
      <alignment horizontal="right" vertical="center" wrapText="1"/>
    </xf>
    <xf numFmtId="177" fontId="49" fillId="0" borderId="22" xfId="0" applyNumberFormat="1" applyFont="1" applyBorder="1" applyAlignment="1">
      <alignment horizontal="center" vertical="center" shrinkToFit="1"/>
    </xf>
    <xf numFmtId="177" fontId="49" fillId="0" borderId="0" xfId="0" applyNumberFormat="1" applyFont="1" applyBorder="1" applyAlignment="1">
      <alignment horizontal="center" vertical="center" shrinkToFit="1"/>
    </xf>
    <xf numFmtId="177" fontId="50" fillId="0" borderId="11" xfId="0" applyNumberFormat="1" applyFont="1" applyBorder="1" applyAlignment="1">
      <alignment horizontal="right" vertical="center"/>
    </xf>
    <xf numFmtId="176" fontId="47" fillId="3" borderId="11" xfId="5" applyNumberFormat="1" applyFont="1" applyFill="1" applyBorder="1" applyAlignment="1">
      <alignment horizontal="center" vertical="center" shrinkToFit="1"/>
    </xf>
    <xf numFmtId="177" fontId="51" fillId="0" borderId="0" xfId="0" applyNumberFormat="1" applyFont="1">
      <alignment vertical="center"/>
    </xf>
    <xf numFmtId="176" fontId="14" fillId="0" borderId="11" xfId="6" applyFont="1" applyBorder="1" applyAlignment="1">
      <alignment horizontal="center" vertical="center" shrinkToFit="1"/>
    </xf>
    <xf numFmtId="176" fontId="29" fillId="3" borderId="11" xfId="0" applyNumberFormat="1" applyFont="1" applyFill="1" applyBorder="1" applyAlignment="1">
      <alignment horizontal="center" vertical="center" shrinkToFit="1"/>
    </xf>
    <xf numFmtId="177" fontId="28" fillId="0" borderId="18" xfId="0" applyNumberFormat="1" applyFont="1" applyBorder="1" applyAlignment="1">
      <alignment horizontal="right" vertical="center"/>
    </xf>
    <xf numFmtId="177" fontId="46" fillId="0" borderId="18" xfId="0" applyNumberFormat="1" applyFont="1" applyBorder="1" applyAlignment="1">
      <alignment horizontal="right" vertical="center"/>
    </xf>
    <xf numFmtId="176" fontId="42" fillId="0" borderId="0" xfId="0" applyFont="1" applyBorder="1">
      <alignment vertical="center"/>
    </xf>
    <xf numFmtId="177" fontId="42" fillId="0" borderId="0" xfId="0" applyNumberFormat="1" applyFont="1" applyBorder="1">
      <alignment vertical="center"/>
    </xf>
    <xf numFmtId="44" fontId="0" fillId="0" borderId="0" xfId="0" applyNumberFormat="1" applyFont="1" applyBorder="1">
      <alignment vertical="center"/>
    </xf>
    <xf numFmtId="176" fontId="4" fillId="0" borderId="1" xfId="0" applyFont="1" applyBorder="1" applyAlignment="1">
      <alignment horizontal="center" vertical="center" wrapText="1"/>
    </xf>
    <xf numFmtId="176" fontId="5" fillId="0" borderId="15" xfId="0" applyFont="1" applyBorder="1" applyAlignment="1">
      <alignment horizontal="center" vertical="center"/>
    </xf>
    <xf numFmtId="176" fontId="5" fillId="0" borderId="16" xfId="0" applyFont="1" applyBorder="1" applyAlignment="1">
      <alignment horizontal="center" vertical="center"/>
    </xf>
    <xf numFmtId="176" fontId="18" fillId="0" borderId="3" xfId="0" applyFont="1" applyBorder="1" applyAlignment="1">
      <alignment horizontal="center" vertical="center" wrapText="1"/>
    </xf>
    <xf numFmtId="176" fontId="18" fillId="0" borderId="5" xfId="0" applyFont="1" applyBorder="1" applyAlignment="1">
      <alignment horizontal="center" vertical="center" wrapText="1"/>
    </xf>
    <xf numFmtId="176" fontId="5" fillId="0" borderId="3" xfId="0" applyFont="1" applyBorder="1" applyAlignment="1">
      <alignment horizontal="center" vertical="center"/>
    </xf>
    <xf numFmtId="176" fontId="5" fillId="0" borderId="5" xfId="0" applyFont="1" applyBorder="1" applyAlignment="1">
      <alignment horizontal="center" vertical="center"/>
    </xf>
    <xf numFmtId="176" fontId="5" fillId="0" borderId="23" xfId="0" applyFont="1" applyBorder="1" applyAlignment="1">
      <alignment horizontal="center" vertical="center"/>
    </xf>
    <xf numFmtId="176" fontId="5" fillId="0" borderId="25" xfId="0" applyFont="1" applyBorder="1" applyAlignment="1">
      <alignment horizontal="center" vertical="center"/>
    </xf>
    <xf numFmtId="176" fontId="5" fillId="0" borderId="24" xfId="0" applyFont="1" applyBorder="1" applyAlignment="1">
      <alignment horizontal="center" vertical="center"/>
    </xf>
    <xf numFmtId="176" fontId="5" fillId="0" borderId="26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76" fontId="5" fillId="0" borderId="3" xfId="0" applyFont="1" applyBorder="1" applyAlignment="1">
      <alignment horizontal="center" vertical="center" wrapText="1" shrinkToFit="1"/>
    </xf>
    <xf numFmtId="176" fontId="5" fillId="0" borderId="5" xfId="0" applyFont="1" applyBorder="1" applyAlignment="1">
      <alignment horizontal="center" vertical="center" shrinkToFit="1"/>
    </xf>
    <xf numFmtId="176" fontId="5" fillId="0" borderId="5" xfId="0" applyFont="1" applyBorder="1" applyAlignment="1">
      <alignment horizontal="center" vertical="center" wrapText="1" shrinkToFi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176" fontId="5" fillId="0" borderId="17" xfId="0" applyFont="1" applyBorder="1" applyAlignment="1">
      <alignment horizontal="center" vertical="center"/>
    </xf>
    <xf numFmtId="176" fontId="5" fillId="0" borderId="19" xfId="0" applyFont="1" applyBorder="1" applyAlignment="1">
      <alignment horizontal="center" vertical="center"/>
    </xf>
    <xf numFmtId="176" fontId="43" fillId="0" borderId="3" xfId="0" applyFont="1" applyBorder="1" applyAlignment="1">
      <alignment horizontal="center" vertical="center"/>
    </xf>
    <xf numFmtId="176" fontId="43" fillId="0" borderId="5" xfId="0" applyFont="1" applyBorder="1" applyAlignment="1">
      <alignment horizontal="center" vertical="center"/>
    </xf>
    <xf numFmtId="176" fontId="2" fillId="2" borderId="8" xfId="0" applyFont="1" applyFill="1" applyBorder="1" applyAlignment="1">
      <alignment horizontal="left" vertical="center"/>
    </xf>
    <xf numFmtId="176" fontId="2" fillId="2" borderId="9" xfId="0" applyFont="1" applyFill="1" applyBorder="1" applyAlignment="1">
      <alignment horizontal="left" vertical="center"/>
    </xf>
    <xf numFmtId="176" fontId="2" fillId="2" borderId="29" xfId="0" applyFont="1" applyFill="1" applyBorder="1" applyAlignment="1">
      <alignment horizontal="left" vertical="center"/>
    </xf>
    <xf numFmtId="176" fontId="2" fillId="2" borderId="30" xfId="0" applyFont="1" applyFill="1" applyBorder="1" applyAlignment="1">
      <alignment horizontal="left" vertical="center"/>
    </xf>
    <xf numFmtId="176" fontId="40" fillId="0" borderId="46" xfId="0" applyNumberFormat="1" applyFont="1" applyBorder="1" applyAlignment="1">
      <alignment horizontal="left" vertical="distributed" wrapText="1"/>
    </xf>
    <xf numFmtId="176" fontId="3" fillId="0" borderId="46" xfId="0" applyNumberFormat="1" applyFont="1" applyBorder="1" applyAlignment="1">
      <alignment horizontal="left" vertical="distributed"/>
    </xf>
    <xf numFmtId="176" fontId="5" fillId="0" borderId="54" xfId="0" applyFont="1" applyBorder="1" applyAlignment="1">
      <alignment horizontal="center" vertical="center"/>
    </xf>
    <xf numFmtId="176" fontId="2" fillId="2" borderId="31" xfId="0" applyFont="1" applyFill="1" applyBorder="1" applyAlignment="1">
      <alignment horizontal="left" vertical="center"/>
    </xf>
    <xf numFmtId="176" fontId="2" fillId="2" borderId="12" xfId="0" applyFont="1" applyFill="1" applyBorder="1" applyAlignment="1">
      <alignment horizontal="left" vertical="center"/>
    </xf>
    <xf numFmtId="176" fontId="2" fillId="2" borderId="13" xfId="0" applyFont="1" applyFill="1" applyBorder="1" applyAlignment="1">
      <alignment horizontal="left" vertical="center"/>
    </xf>
    <xf numFmtId="176" fontId="2" fillId="2" borderId="28" xfId="0" applyFont="1" applyFill="1" applyBorder="1" applyAlignment="1">
      <alignment horizontal="left" vertical="center"/>
    </xf>
  </cellXfs>
  <cellStyles count="510">
    <cellStyle name="百分比" xfId="2" builtinId="5"/>
    <cellStyle name="百分比 2" xfId="487"/>
    <cellStyle name="常规" xfId="0" builtinId="0"/>
    <cellStyle name="常规 10" xfId="9"/>
    <cellStyle name="常规 10 2" xfId="248"/>
    <cellStyle name="常规 100" xfId="10"/>
    <cellStyle name="常规 100 2" xfId="249"/>
    <cellStyle name="常规 101" xfId="11"/>
    <cellStyle name="常规 101 2" xfId="250"/>
    <cellStyle name="常规 102" xfId="12"/>
    <cellStyle name="常规 102 2" xfId="251"/>
    <cellStyle name="常规 103" xfId="13"/>
    <cellStyle name="常规 103 2" xfId="252"/>
    <cellStyle name="常规 104" xfId="14"/>
    <cellStyle name="常规 104 2" xfId="253"/>
    <cellStyle name="常规 105" xfId="15"/>
    <cellStyle name="常规 105 2" xfId="254"/>
    <cellStyle name="常规 106" xfId="16"/>
    <cellStyle name="常规 106 2" xfId="255"/>
    <cellStyle name="常规 107" xfId="17"/>
    <cellStyle name="常规 107 2" xfId="256"/>
    <cellStyle name="常规 108" xfId="18"/>
    <cellStyle name="常规 108 2" xfId="257"/>
    <cellStyle name="常规 109" xfId="19"/>
    <cellStyle name="常规 109 2" xfId="258"/>
    <cellStyle name="常规 11" xfId="20"/>
    <cellStyle name="常规 11 2" xfId="259"/>
    <cellStyle name="常规 110" xfId="21"/>
    <cellStyle name="常规 110 2" xfId="260"/>
    <cellStyle name="常规 111" xfId="22"/>
    <cellStyle name="常规 111 2" xfId="261"/>
    <cellStyle name="常规 112" xfId="23"/>
    <cellStyle name="常规 112 2" xfId="262"/>
    <cellStyle name="常规 113" xfId="24"/>
    <cellStyle name="常规 113 2" xfId="263"/>
    <cellStyle name="常规 114" xfId="25"/>
    <cellStyle name="常规 114 2" xfId="264"/>
    <cellStyle name="常规 115" xfId="26"/>
    <cellStyle name="常规 115 2" xfId="265"/>
    <cellStyle name="常规 116" xfId="27"/>
    <cellStyle name="常规 116 2" xfId="266"/>
    <cellStyle name="常规 117" xfId="28"/>
    <cellStyle name="常规 117 2" xfId="267"/>
    <cellStyle name="常规 118" xfId="29"/>
    <cellStyle name="常规 118 2" xfId="268"/>
    <cellStyle name="常规 119" xfId="30"/>
    <cellStyle name="常规 119 2" xfId="269"/>
    <cellStyle name="常规 12" xfId="31"/>
    <cellStyle name="常规 12 2" xfId="270"/>
    <cellStyle name="常规 120" xfId="32"/>
    <cellStyle name="常规 120 2" xfId="271"/>
    <cellStyle name="常规 121" xfId="33"/>
    <cellStyle name="常规 121 2" xfId="272"/>
    <cellStyle name="常规 122" xfId="34"/>
    <cellStyle name="常规 122 2" xfId="273"/>
    <cellStyle name="常规 123" xfId="35"/>
    <cellStyle name="常规 123 2" xfId="274"/>
    <cellStyle name="常规 124" xfId="36"/>
    <cellStyle name="常规 124 2" xfId="275"/>
    <cellStyle name="常规 125" xfId="37"/>
    <cellStyle name="常规 125 2" xfId="276"/>
    <cellStyle name="常规 126" xfId="38"/>
    <cellStyle name="常规 126 2" xfId="277"/>
    <cellStyle name="常规 127" xfId="39"/>
    <cellStyle name="常规 127 2" xfId="278"/>
    <cellStyle name="常规 128" xfId="40"/>
    <cellStyle name="常规 128 2" xfId="279"/>
    <cellStyle name="常规 129" xfId="41"/>
    <cellStyle name="常规 129 2" xfId="280"/>
    <cellStyle name="常规 13" xfId="42"/>
    <cellStyle name="常规 13 2" xfId="281"/>
    <cellStyle name="常规 130" xfId="43"/>
    <cellStyle name="常规 130 2" xfId="282"/>
    <cellStyle name="常规 131" xfId="44"/>
    <cellStyle name="常规 131 2" xfId="283"/>
    <cellStyle name="常规 132" xfId="45"/>
    <cellStyle name="常规 132 2" xfId="284"/>
    <cellStyle name="常规 133" xfId="46"/>
    <cellStyle name="常规 133 2" xfId="285"/>
    <cellStyle name="常规 134" xfId="47"/>
    <cellStyle name="常规 134 2" xfId="286"/>
    <cellStyle name="常规 135" xfId="48"/>
    <cellStyle name="常规 135 2" xfId="287"/>
    <cellStyle name="常规 136" xfId="49"/>
    <cellStyle name="常规 136 2" xfId="288"/>
    <cellStyle name="常规 137" xfId="50"/>
    <cellStyle name="常规 137 2" xfId="289"/>
    <cellStyle name="常规 138" xfId="51"/>
    <cellStyle name="常规 138 2" xfId="290"/>
    <cellStyle name="常规 139" xfId="52"/>
    <cellStyle name="常规 139 2" xfId="291"/>
    <cellStyle name="常规 14" xfId="53"/>
    <cellStyle name="常规 14 2" xfId="292"/>
    <cellStyle name="常规 140" xfId="54"/>
    <cellStyle name="常规 140 2" xfId="293"/>
    <cellStyle name="常规 141" xfId="55"/>
    <cellStyle name="常规 141 2" xfId="294"/>
    <cellStyle name="常规 142" xfId="56"/>
    <cellStyle name="常规 142 2" xfId="295"/>
    <cellStyle name="常规 143" xfId="57"/>
    <cellStyle name="常规 143 2" xfId="296"/>
    <cellStyle name="常规 144" xfId="58"/>
    <cellStyle name="常规 144 2" xfId="297"/>
    <cellStyle name="常规 145" xfId="59"/>
    <cellStyle name="常规 145 2" xfId="298"/>
    <cellStyle name="常规 146" xfId="60"/>
    <cellStyle name="常规 146 2" xfId="299"/>
    <cellStyle name="常规 147" xfId="61"/>
    <cellStyle name="常规 147 2" xfId="300"/>
    <cellStyle name="常规 148" xfId="62"/>
    <cellStyle name="常规 148 2" xfId="301"/>
    <cellStyle name="常规 149" xfId="63"/>
    <cellStyle name="常规 149 2" xfId="302"/>
    <cellStyle name="常规 15" xfId="64"/>
    <cellStyle name="常规 15 2" xfId="303"/>
    <cellStyle name="常规 150" xfId="65"/>
    <cellStyle name="常规 150 2" xfId="304"/>
    <cellStyle name="常规 151" xfId="66"/>
    <cellStyle name="常规 151 2" xfId="305"/>
    <cellStyle name="常规 152" xfId="67"/>
    <cellStyle name="常规 152 2" xfId="306"/>
    <cellStyle name="常规 153" xfId="68"/>
    <cellStyle name="常规 153 2" xfId="307"/>
    <cellStyle name="常规 154" xfId="69"/>
    <cellStyle name="常规 154 2" xfId="308"/>
    <cellStyle name="常规 155" xfId="70"/>
    <cellStyle name="常规 155 2" xfId="309"/>
    <cellStyle name="常规 156" xfId="71"/>
    <cellStyle name="常规 156 2" xfId="310"/>
    <cellStyle name="常规 157" xfId="72"/>
    <cellStyle name="常规 157 2" xfId="311"/>
    <cellStyle name="常规 158" xfId="73"/>
    <cellStyle name="常规 158 2" xfId="312"/>
    <cellStyle name="常规 159" xfId="74"/>
    <cellStyle name="常规 159 2" xfId="313"/>
    <cellStyle name="常规 16" xfId="75"/>
    <cellStyle name="常规 16 2" xfId="314"/>
    <cellStyle name="常规 160" xfId="76"/>
    <cellStyle name="常规 160 2" xfId="315"/>
    <cellStyle name="常规 161" xfId="77"/>
    <cellStyle name="常规 161 2" xfId="316"/>
    <cellStyle name="常规 162" xfId="78"/>
    <cellStyle name="常规 162 2" xfId="317"/>
    <cellStyle name="常规 163" xfId="79"/>
    <cellStyle name="常规 163 2" xfId="318"/>
    <cellStyle name="常规 164" xfId="80"/>
    <cellStyle name="常规 164 2" xfId="319"/>
    <cellStyle name="常规 165" xfId="81"/>
    <cellStyle name="常规 165 2" xfId="320"/>
    <cellStyle name="常规 166" xfId="82"/>
    <cellStyle name="常规 166 2" xfId="321"/>
    <cellStyle name="常规 167" xfId="83"/>
    <cellStyle name="常规 167 2" xfId="322"/>
    <cellStyle name="常规 168" xfId="84"/>
    <cellStyle name="常规 168 2" xfId="323"/>
    <cellStyle name="常规 169" xfId="85"/>
    <cellStyle name="常规 169 2" xfId="324"/>
    <cellStyle name="常规 17" xfId="86"/>
    <cellStyle name="常规 17 2" xfId="325"/>
    <cellStyle name="常规 170" xfId="87"/>
    <cellStyle name="常规 170 2" xfId="326"/>
    <cellStyle name="常规 171" xfId="88"/>
    <cellStyle name="常规 171 2" xfId="327"/>
    <cellStyle name="常规 172" xfId="89"/>
    <cellStyle name="常规 172 2" xfId="328"/>
    <cellStyle name="常规 173" xfId="90"/>
    <cellStyle name="常规 173 2" xfId="329"/>
    <cellStyle name="常规 174" xfId="91"/>
    <cellStyle name="常规 174 2" xfId="330"/>
    <cellStyle name="常规 175" xfId="92"/>
    <cellStyle name="常规 175 2" xfId="331"/>
    <cellStyle name="常规 176" xfId="93"/>
    <cellStyle name="常规 176 2" xfId="332"/>
    <cellStyle name="常规 177" xfId="94"/>
    <cellStyle name="常规 177 2" xfId="333"/>
    <cellStyle name="常规 178" xfId="95"/>
    <cellStyle name="常规 178 2" xfId="334"/>
    <cellStyle name="常规 179" xfId="96"/>
    <cellStyle name="常规 179 2" xfId="335"/>
    <cellStyle name="常规 18" xfId="97"/>
    <cellStyle name="常规 18 2" xfId="336"/>
    <cellStyle name="常规 180" xfId="98"/>
    <cellStyle name="常规 180 2" xfId="337"/>
    <cellStyle name="常规 181" xfId="1"/>
    <cellStyle name="常规 181 2" xfId="5"/>
    <cellStyle name="常规 181 2 2" xfId="494"/>
    <cellStyle name="常规 181 2 3" xfId="338"/>
    <cellStyle name="常规 181 3" xfId="3"/>
    <cellStyle name="常规 181 4" xfId="8"/>
    <cellStyle name="常规 182" xfId="99"/>
    <cellStyle name="常规 182 2" xfId="339"/>
    <cellStyle name="常规 183" xfId="100"/>
    <cellStyle name="常规 183 2" xfId="340"/>
    <cellStyle name="常规 184" xfId="101"/>
    <cellStyle name="常规 184 2" xfId="341"/>
    <cellStyle name="常规 185" xfId="102"/>
    <cellStyle name="常规 185 2" xfId="342"/>
    <cellStyle name="常规 186" xfId="103"/>
    <cellStyle name="常规 186 2" xfId="343"/>
    <cellStyle name="常规 187" xfId="104"/>
    <cellStyle name="常规 187 2" xfId="344"/>
    <cellStyle name="常规 188" xfId="105"/>
    <cellStyle name="常规 188 2" xfId="345"/>
    <cellStyle name="常规 189" xfId="106"/>
    <cellStyle name="常规 189 2" xfId="346"/>
    <cellStyle name="常规 19" xfId="107"/>
    <cellStyle name="常规 19 2" xfId="347"/>
    <cellStyle name="常规 190" xfId="108"/>
    <cellStyle name="常规 190 2" xfId="348"/>
    <cellStyle name="常规 191" xfId="109"/>
    <cellStyle name="常规 191 2" xfId="349"/>
    <cellStyle name="常规 192" xfId="110"/>
    <cellStyle name="常规 192 2" xfId="350"/>
    <cellStyle name="常规 193" xfId="111"/>
    <cellStyle name="常规 193 2" xfId="351"/>
    <cellStyle name="常规 194" xfId="112"/>
    <cellStyle name="常规 194 2" xfId="352"/>
    <cellStyle name="常规 195" xfId="113"/>
    <cellStyle name="常规 195 2" xfId="353"/>
    <cellStyle name="常规 196" xfId="114"/>
    <cellStyle name="常规 196 2" xfId="354"/>
    <cellStyle name="常规 197" xfId="115"/>
    <cellStyle name="常规 197 2" xfId="355"/>
    <cellStyle name="常规 198" xfId="116"/>
    <cellStyle name="常规 198 2" xfId="356"/>
    <cellStyle name="常规 199" xfId="117"/>
    <cellStyle name="常规 199 2" xfId="357"/>
    <cellStyle name="常规 2" xfId="4"/>
    <cellStyle name="常规 2 2" xfId="358"/>
    <cellStyle name="常规 2 2 2" xfId="493"/>
    <cellStyle name="常规 2 3" xfId="118"/>
    <cellStyle name="常规 20" xfId="119"/>
    <cellStyle name="常规 20 2" xfId="359"/>
    <cellStyle name="常规 200" xfId="120"/>
    <cellStyle name="常规 200 2" xfId="360"/>
    <cellStyle name="常规 201" xfId="121"/>
    <cellStyle name="常规 201 2" xfId="361"/>
    <cellStyle name="常规 202" xfId="122"/>
    <cellStyle name="常规 202 2" xfId="362"/>
    <cellStyle name="常规 203" xfId="123"/>
    <cellStyle name="常规 203 2" xfId="363"/>
    <cellStyle name="常规 204" xfId="124"/>
    <cellStyle name="常规 204 2" xfId="364"/>
    <cellStyle name="常规 205" xfId="125"/>
    <cellStyle name="常规 205 2" xfId="365"/>
    <cellStyle name="常规 206" xfId="126"/>
    <cellStyle name="常规 206 2" xfId="366"/>
    <cellStyle name="常规 207" xfId="127"/>
    <cellStyle name="常规 207 2" xfId="367"/>
    <cellStyle name="常规 208" xfId="128"/>
    <cellStyle name="常规 208 2" xfId="368"/>
    <cellStyle name="常规 209" xfId="129"/>
    <cellStyle name="常规 209 2" xfId="369"/>
    <cellStyle name="常规 21" xfId="130"/>
    <cellStyle name="常规 21 2" xfId="370"/>
    <cellStyle name="常规 210" xfId="131"/>
    <cellStyle name="常规 210 2" xfId="371"/>
    <cellStyle name="常规 211" xfId="132"/>
    <cellStyle name="常规 211 2" xfId="372"/>
    <cellStyle name="常规 212" xfId="133"/>
    <cellStyle name="常规 212 2" xfId="373"/>
    <cellStyle name="常规 213" xfId="134"/>
    <cellStyle name="常规 213 2" xfId="374"/>
    <cellStyle name="常规 214" xfId="135"/>
    <cellStyle name="常规 214 2" xfId="375"/>
    <cellStyle name="常规 215" xfId="136"/>
    <cellStyle name="常规 215 2" xfId="376"/>
    <cellStyle name="常规 216" xfId="137"/>
    <cellStyle name="常规 216 2" xfId="377"/>
    <cellStyle name="常规 217" xfId="138"/>
    <cellStyle name="常规 217 2" xfId="378"/>
    <cellStyle name="常规 218" xfId="139"/>
    <cellStyle name="常规 218 2" xfId="379"/>
    <cellStyle name="常规 219" xfId="140"/>
    <cellStyle name="常规 219 2" xfId="380"/>
    <cellStyle name="常规 22" xfId="141"/>
    <cellStyle name="常规 22 2" xfId="381"/>
    <cellStyle name="常规 220" xfId="142"/>
    <cellStyle name="常规 220 2" xfId="382"/>
    <cellStyle name="常规 221" xfId="143"/>
    <cellStyle name="常规 221 2" xfId="383"/>
    <cellStyle name="常规 222" xfId="144"/>
    <cellStyle name="常规 222 2" xfId="384"/>
    <cellStyle name="常规 223" xfId="145"/>
    <cellStyle name="常规 223 2" xfId="385"/>
    <cellStyle name="常规 224" xfId="146"/>
    <cellStyle name="常规 224 2" xfId="386"/>
    <cellStyle name="常规 225" xfId="147"/>
    <cellStyle name="常规 225 2" xfId="387"/>
    <cellStyle name="常规 226" xfId="148"/>
    <cellStyle name="常规 226 2" xfId="388"/>
    <cellStyle name="常规 227" xfId="149"/>
    <cellStyle name="常规 227 2" xfId="389"/>
    <cellStyle name="常规 228" xfId="150"/>
    <cellStyle name="常规 228 2" xfId="390"/>
    <cellStyle name="常规 229" xfId="151"/>
    <cellStyle name="常规 229 2" xfId="391"/>
    <cellStyle name="常规 23" xfId="152"/>
    <cellStyle name="常规 23 2" xfId="392"/>
    <cellStyle name="常规 230" xfId="153"/>
    <cellStyle name="常规 230 2" xfId="393"/>
    <cellStyle name="常规 231" xfId="154"/>
    <cellStyle name="常规 231 2" xfId="394"/>
    <cellStyle name="常规 232" xfId="155"/>
    <cellStyle name="常规 232 2" xfId="395"/>
    <cellStyle name="常规 233" xfId="156"/>
    <cellStyle name="常规 233 2" xfId="396"/>
    <cellStyle name="常规 234" xfId="157"/>
    <cellStyle name="常规 234 2" xfId="397"/>
    <cellStyle name="常规 235" xfId="158"/>
    <cellStyle name="常规 235 2" xfId="398"/>
    <cellStyle name="常规 236" xfId="159"/>
    <cellStyle name="常规 236 2" xfId="399"/>
    <cellStyle name="常规 237" xfId="160"/>
    <cellStyle name="常规 237 2" xfId="400"/>
    <cellStyle name="常规 238" xfId="161"/>
    <cellStyle name="常规 238 2" xfId="401"/>
    <cellStyle name="常规 239" xfId="162"/>
    <cellStyle name="常规 239 2" xfId="402"/>
    <cellStyle name="常规 24" xfId="163"/>
    <cellStyle name="常规 24 2" xfId="403"/>
    <cellStyle name="常规 240" xfId="164"/>
    <cellStyle name="常规 240 2" xfId="404"/>
    <cellStyle name="常规 241" xfId="247"/>
    <cellStyle name="常规 242" xfId="488"/>
    <cellStyle name="常规 243" xfId="490"/>
    <cellStyle name="常规 244" xfId="499"/>
    <cellStyle name="常规 245" xfId="497"/>
    <cellStyle name="常规 246" xfId="489"/>
    <cellStyle name="常规 247" xfId="498"/>
    <cellStyle name="常规 248" xfId="500"/>
    <cellStyle name="常规 249" xfId="501"/>
    <cellStyle name="常规 25" xfId="165"/>
    <cellStyle name="常规 25 2" xfId="405"/>
    <cellStyle name="常规 250" xfId="502"/>
    <cellStyle name="常规 251" xfId="503"/>
    <cellStyle name="常规 252" xfId="504"/>
    <cellStyle name="常规 253" xfId="505"/>
    <cellStyle name="常规 254" xfId="506"/>
    <cellStyle name="常规 255" xfId="507"/>
    <cellStyle name="常规 256" xfId="508"/>
    <cellStyle name="常规 257" xfId="509"/>
    <cellStyle name="常规 258" xfId="7"/>
    <cellStyle name="常规 26" xfId="166"/>
    <cellStyle name="常规 26 2" xfId="406"/>
    <cellStyle name="常规 27" xfId="167"/>
    <cellStyle name="常规 27 2" xfId="407"/>
    <cellStyle name="常规 28" xfId="168"/>
    <cellStyle name="常规 28 2" xfId="408"/>
    <cellStyle name="常规 29" xfId="169"/>
    <cellStyle name="常规 29 2" xfId="409"/>
    <cellStyle name="常规 3" xfId="6"/>
    <cellStyle name="常规 3 2" xfId="410"/>
    <cellStyle name="常规 3 2 2" xfId="495"/>
    <cellStyle name="常规 3 3" xfId="170"/>
    <cellStyle name="常规 30" xfId="171"/>
    <cellStyle name="常规 30 2" xfId="411"/>
    <cellStyle name="常规 31" xfId="172"/>
    <cellStyle name="常规 31 2" xfId="412"/>
    <cellStyle name="常规 32" xfId="173"/>
    <cellStyle name="常规 32 2" xfId="413"/>
    <cellStyle name="常规 33" xfId="174"/>
    <cellStyle name="常规 33 2" xfId="414"/>
    <cellStyle name="常规 34" xfId="175"/>
    <cellStyle name="常规 34 2" xfId="415"/>
    <cellStyle name="常规 35" xfId="176"/>
    <cellStyle name="常规 35 2" xfId="416"/>
    <cellStyle name="常规 36" xfId="177"/>
    <cellStyle name="常规 36 2" xfId="417"/>
    <cellStyle name="常规 37" xfId="178"/>
    <cellStyle name="常规 37 2" xfId="418"/>
    <cellStyle name="常规 38" xfId="179"/>
    <cellStyle name="常规 38 2" xfId="419"/>
    <cellStyle name="常规 39" xfId="180"/>
    <cellStyle name="常规 39 2" xfId="420"/>
    <cellStyle name="常规 4" xfId="181"/>
    <cellStyle name="常规 4 2" xfId="421"/>
    <cellStyle name="常规 4 2 2" xfId="496"/>
    <cellStyle name="常规 40" xfId="182"/>
    <cellStyle name="常规 40 2" xfId="422"/>
    <cellStyle name="常规 41" xfId="183"/>
    <cellStyle name="常规 41 2" xfId="423"/>
    <cellStyle name="常规 42" xfId="184"/>
    <cellStyle name="常规 42 2" xfId="424"/>
    <cellStyle name="常规 43" xfId="185"/>
    <cellStyle name="常规 43 2" xfId="425"/>
    <cellStyle name="常规 44" xfId="186"/>
    <cellStyle name="常规 44 2" xfId="426"/>
    <cellStyle name="常规 45" xfId="187"/>
    <cellStyle name="常规 45 2" xfId="427"/>
    <cellStyle name="常规 46" xfId="188"/>
    <cellStyle name="常规 46 2" xfId="428"/>
    <cellStyle name="常规 47" xfId="189"/>
    <cellStyle name="常规 47 2" xfId="429"/>
    <cellStyle name="常规 48" xfId="190"/>
    <cellStyle name="常规 48 2" xfId="430"/>
    <cellStyle name="常规 49" xfId="191"/>
    <cellStyle name="常规 49 2" xfId="431"/>
    <cellStyle name="常规 5" xfId="192"/>
    <cellStyle name="常规 5 2" xfId="432"/>
    <cellStyle name="常规 5 3" xfId="491"/>
    <cellStyle name="常规 50" xfId="193"/>
    <cellStyle name="常规 50 2" xfId="433"/>
    <cellStyle name="常规 51" xfId="194"/>
    <cellStyle name="常规 51 2" xfId="434"/>
    <cellStyle name="常规 52" xfId="195"/>
    <cellStyle name="常规 52 2" xfId="435"/>
    <cellStyle name="常规 53" xfId="196"/>
    <cellStyle name="常规 53 2" xfId="436"/>
    <cellStyle name="常规 54" xfId="197"/>
    <cellStyle name="常规 54 2" xfId="437"/>
    <cellStyle name="常规 55" xfId="198"/>
    <cellStyle name="常规 55 2" xfId="438"/>
    <cellStyle name="常规 56" xfId="199"/>
    <cellStyle name="常规 56 2" xfId="439"/>
    <cellStyle name="常规 57" xfId="200"/>
    <cellStyle name="常规 57 2" xfId="440"/>
    <cellStyle name="常规 58" xfId="201"/>
    <cellStyle name="常规 58 2" xfId="441"/>
    <cellStyle name="常规 59" xfId="202"/>
    <cellStyle name="常规 59 2" xfId="442"/>
    <cellStyle name="常规 6" xfId="203"/>
    <cellStyle name="常规 6 2" xfId="443"/>
    <cellStyle name="常规 6 3" xfId="492"/>
    <cellStyle name="常规 60" xfId="204"/>
    <cellStyle name="常规 60 2" xfId="444"/>
    <cellStyle name="常规 61" xfId="205"/>
    <cellStyle name="常规 61 2" xfId="445"/>
    <cellStyle name="常规 62" xfId="206"/>
    <cellStyle name="常规 62 2" xfId="446"/>
    <cellStyle name="常规 63" xfId="207"/>
    <cellStyle name="常规 63 2" xfId="447"/>
    <cellStyle name="常规 64" xfId="208"/>
    <cellStyle name="常规 64 2" xfId="448"/>
    <cellStyle name="常规 65" xfId="209"/>
    <cellStyle name="常规 65 2" xfId="449"/>
    <cellStyle name="常规 66" xfId="210"/>
    <cellStyle name="常规 66 2" xfId="450"/>
    <cellStyle name="常规 67" xfId="211"/>
    <cellStyle name="常规 67 2" xfId="451"/>
    <cellStyle name="常规 68" xfId="212"/>
    <cellStyle name="常规 68 2" xfId="452"/>
    <cellStyle name="常规 69" xfId="213"/>
    <cellStyle name="常规 69 2" xfId="453"/>
    <cellStyle name="常规 7" xfId="214"/>
    <cellStyle name="常规 7 2" xfId="454"/>
    <cellStyle name="常规 70" xfId="215"/>
    <cellStyle name="常规 70 2" xfId="455"/>
    <cellStyle name="常规 71" xfId="216"/>
    <cellStyle name="常规 71 2" xfId="456"/>
    <cellStyle name="常规 72" xfId="217"/>
    <cellStyle name="常规 72 2" xfId="457"/>
    <cellStyle name="常规 73" xfId="218"/>
    <cellStyle name="常规 73 2" xfId="458"/>
    <cellStyle name="常规 74" xfId="219"/>
    <cellStyle name="常规 74 2" xfId="459"/>
    <cellStyle name="常规 75" xfId="220"/>
    <cellStyle name="常规 75 2" xfId="460"/>
    <cellStyle name="常规 76" xfId="221"/>
    <cellStyle name="常规 76 2" xfId="461"/>
    <cellStyle name="常规 77" xfId="222"/>
    <cellStyle name="常规 77 2" xfId="462"/>
    <cellStyle name="常规 78" xfId="223"/>
    <cellStyle name="常规 78 2" xfId="463"/>
    <cellStyle name="常规 79" xfId="224"/>
    <cellStyle name="常规 79 2" xfId="464"/>
    <cellStyle name="常规 8" xfId="225"/>
    <cellStyle name="常规 8 2" xfId="465"/>
    <cellStyle name="常规 80" xfId="226"/>
    <cellStyle name="常规 80 2" xfId="466"/>
    <cellStyle name="常规 81" xfId="227"/>
    <cellStyle name="常规 81 2" xfId="467"/>
    <cellStyle name="常规 82" xfId="228"/>
    <cellStyle name="常规 82 2" xfId="468"/>
    <cellStyle name="常规 83" xfId="229"/>
    <cellStyle name="常规 83 2" xfId="469"/>
    <cellStyle name="常规 84" xfId="230"/>
    <cellStyle name="常规 84 2" xfId="470"/>
    <cellStyle name="常规 85" xfId="231"/>
    <cellStyle name="常规 85 2" xfId="471"/>
    <cellStyle name="常规 86" xfId="232"/>
    <cellStyle name="常规 86 2" xfId="472"/>
    <cellStyle name="常规 87" xfId="233"/>
    <cellStyle name="常规 87 2" xfId="473"/>
    <cellStyle name="常规 88" xfId="234"/>
    <cellStyle name="常规 88 2" xfId="474"/>
    <cellStyle name="常规 89" xfId="235"/>
    <cellStyle name="常规 89 2" xfId="475"/>
    <cellStyle name="常规 9" xfId="236"/>
    <cellStyle name="常规 9 2" xfId="476"/>
    <cellStyle name="常规 90" xfId="237"/>
    <cellStyle name="常规 90 2" xfId="477"/>
    <cellStyle name="常规 91" xfId="238"/>
    <cellStyle name="常规 91 2" xfId="478"/>
    <cellStyle name="常规 92" xfId="239"/>
    <cellStyle name="常规 92 2" xfId="479"/>
    <cellStyle name="常规 93" xfId="240"/>
    <cellStyle name="常规 93 2" xfId="480"/>
    <cellStyle name="常规 94" xfId="241"/>
    <cellStyle name="常规 94 2" xfId="481"/>
    <cellStyle name="常规 95" xfId="242"/>
    <cellStyle name="常规 95 2" xfId="482"/>
    <cellStyle name="常规 96" xfId="243"/>
    <cellStyle name="常规 96 2" xfId="483"/>
    <cellStyle name="常规 97" xfId="244"/>
    <cellStyle name="常规 97 2" xfId="484"/>
    <cellStyle name="常规 98" xfId="245"/>
    <cellStyle name="常规 98 2" xfId="485"/>
    <cellStyle name="常规 99" xfId="246"/>
    <cellStyle name="常规 99 2" xfId="486"/>
  </cellStyles>
  <dxfs count="0"/>
  <tableStyles count="0" defaultTableStyle="TableStyleMedium2" defaultPivotStyle="PivotStyleLight16"/>
  <colors>
    <mruColors>
      <color rgb="FF0351ED"/>
      <color rgb="FF009900"/>
      <color rgb="FFCC00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2"/>
  <sheetViews>
    <sheetView tabSelected="1" topLeftCell="A461" workbookViewId="0">
      <selection activeCell="A22" sqref="A22:W22"/>
    </sheetView>
  </sheetViews>
  <sheetFormatPr defaultRowHeight="13.5"/>
  <cols>
    <col min="1" max="1" width="5.625" style="1" customWidth="1"/>
    <col min="2" max="2" width="10.625" style="2" hidden="1" customWidth="1"/>
    <col min="3" max="3" width="16.75" style="3" hidden="1" customWidth="1"/>
    <col min="4" max="4" width="19.625" style="3" customWidth="1"/>
    <col min="5" max="5" width="13.625" style="4" hidden="1" customWidth="1"/>
    <col min="6" max="6" width="10.625" style="5" hidden="1" customWidth="1"/>
    <col min="7" max="7" width="7.25" style="1" hidden="1" customWidth="1"/>
    <col min="8" max="8" width="13.625" style="176" customWidth="1"/>
    <col min="9" max="10" width="13.625" style="2" customWidth="1"/>
    <col min="11" max="11" width="13.625" style="6" hidden="1" customWidth="1"/>
    <col min="12" max="12" width="13.625" style="2" hidden="1" customWidth="1"/>
    <col min="13" max="13" width="12.625" style="2" customWidth="1"/>
    <col min="14" max="17" width="12.625" style="6" hidden="1" customWidth="1"/>
    <col min="18" max="18" width="12.625" style="6" customWidth="1"/>
    <col min="19" max="19" width="13.625" style="2" customWidth="1"/>
    <col min="20" max="20" width="10.625" style="2" hidden="1" customWidth="1"/>
    <col min="21" max="22" width="12.625" style="2" customWidth="1"/>
    <col min="23" max="23" width="13.625" style="2" customWidth="1"/>
    <col min="24" max="24" width="12.125" style="7" hidden="1" customWidth="1"/>
    <col min="25" max="25" width="15.5" style="2" customWidth="1"/>
    <col min="26" max="26" width="16.25" style="6" bestFit="1" customWidth="1"/>
    <col min="27" max="27" width="17.5" style="2" bestFit="1" customWidth="1"/>
    <col min="28" max="16384" width="9" style="2"/>
  </cols>
  <sheetData>
    <row r="1" spans="1:27" ht="14.25">
      <c r="A1" s="175" t="s">
        <v>94</v>
      </c>
      <c r="I1" s="177">
        <f>I5/H5</f>
        <v>0.48441989095286597</v>
      </c>
      <c r="J1" s="177">
        <f>J5/H5</f>
        <v>0.51558010904713403</v>
      </c>
      <c r="O1" s="6">
        <f>N5-O5</f>
        <v>237.04999999998836</v>
      </c>
      <c r="Q1" s="6">
        <f>P5-Q5</f>
        <v>156353.54</v>
      </c>
    </row>
    <row r="2" spans="1:27" ht="66.75" customHeight="1" thickBot="1">
      <c r="A2" s="222" t="s">
        <v>729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</row>
    <row r="3" spans="1:27" ht="20.100000000000001" customHeight="1">
      <c r="A3" s="233" t="s">
        <v>95</v>
      </c>
      <c r="B3" s="227" t="s">
        <v>96</v>
      </c>
      <c r="C3" s="235" t="s">
        <v>97</v>
      </c>
      <c r="D3" s="235" t="s">
        <v>98</v>
      </c>
      <c r="E3" s="235" t="s">
        <v>99</v>
      </c>
      <c r="F3" s="235" t="s">
        <v>100</v>
      </c>
      <c r="G3" s="238" t="s">
        <v>101</v>
      </c>
      <c r="H3" s="242" t="s">
        <v>102</v>
      </c>
      <c r="I3" s="227" t="s">
        <v>103</v>
      </c>
      <c r="J3" s="227" t="s">
        <v>104</v>
      </c>
      <c r="K3" s="223" t="s">
        <v>105</v>
      </c>
      <c r="L3" s="224"/>
      <c r="M3" s="240" t="s">
        <v>106</v>
      </c>
      <c r="N3" s="223" t="s">
        <v>107</v>
      </c>
      <c r="O3" s="250"/>
      <c r="P3" s="250"/>
      <c r="Q3" s="224"/>
      <c r="R3" s="227" t="s">
        <v>731</v>
      </c>
      <c r="S3" s="227" t="s">
        <v>730</v>
      </c>
      <c r="T3" s="225" t="s">
        <v>108</v>
      </c>
      <c r="U3" s="227" t="s">
        <v>732</v>
      </c>
      <c r="V3" s="227" t="s">
        <v>737</v>
      </c>
      <c r="W3" s="229" t="s">
        <v>109</v>
      </c>
      <c r="X3" s="231" t="s">
        <v>110</v>
      </c>
    </row>
    <row r="4" spans="1:27" ht="20.100000000000001" customHeight="1" thickBot="1">
      <c r="A4" s="234"/>
      <c r="B4" s="228"/>
      <c r="C4" s="236"/>
      <c r="D4" s="236"/>
      <c r="E4" s="237"/>
      <c r="F4" s="237"/>
      <c r="G4" s="239"/>
      <c r="H4" s="243"/>
      <c r="I4" s="228"/>
      <c r="J4" s="228"/>
      <c r="K4" s="43" t="s">
        <v>111</v>
      </c>
      <c r="L4" s="44" t="s">
        <v>112</v>
      </c>
      <c r="M4" s="241"/>
      <c r="N4" s="43" t="s">
        <v>733</v>
      </c>
      <c r="O4" s="43" t="s">
        <v>734</v>
      </c>
      <c r="P4" s="43" t="s">
        <v>735</v>
      </c>
      <c r="Q4" s="43" t="s">
        <v>736</v>
      </c>
      <c r="R4" s="228"/>
      <c r="S4" s="228"/>
      <c r="T4" s="226"/>
      <c r="U4" s="228"/>
      <c r="V4" s="228"/>
      <c r="W4" s="230"/>
      <c r="X4" s="232"/>
    </row>
    <row r="5" spans="1:27" s="180" customFormat="1" ht="37.5" customHeight="1">
      <c r="A5" s="178"/>
      <c r="B5" s="8" t="s">
        <v>113</v>
      </c>
      <c r="C5" s="9" t="s">
        <v>114</v>
      </c>
      <c r="D5" s="10" t="s">
        <v>115</v>
      </c>
      <c r="E5" s="11">
        <f>SUM(E23,E55,E101,E114,E163,E263,E277,E305,E320,E381,E488,E498)</f>
        <v>22040000</v>
      </c>
      <c r="F5" s="12">
        <f>H5/E5</f>
        <v>0.71303970689655172</v>
      </c>
      <c r="G5" s="13">
        <f t="shared" ref="G5:V5" si="0">G7+G23+G55+G101+G114+G163+G263+G277+G305+G320+G381+G488+G498</f>
        <v>86297</v>
      </c>
      <c r="H5" s="179">
        <f t="shared" si="0"/>
        <v>15715395.140000001</v>
      </c>
      <c r="I5" s="14">
        <f t="shared" si="0"/>
        <v>7612850</v>
      </c>
      <c r="J5" s="14">
        <f t="shared" si="0"/>
        <v>8102545.1400000006</v>
      </c>
      <c r="K5" s="14">
        <f t="shared" si="0"/>
        <v>844082.57</v>
      </c>
      <c r="L5" s="14">
        <f t="shared" si="0"/>
        <v>7258462.5700000003</v>
      </c>
      <c r="M5" s="14">
        <f t="shared" si="0"/>
        <v>558657.59000000008</v>
      </c>
      <c r="N5" s="14">
        <f t="shared" si="0"/>
        <v>321923.05</v>
      </c>
      <c r="O5" s="14">
        <f t="shared" si="0"/>
        <v>321686</v>
      </c>
      <c r="P5" s="14">
        <f t="shared" si="0"/>
        <v>236734.54</v>
      </c>
      <c r="Q5" s="14">
        <f t="shared" si="0"/>
        <v>80381</v>
      </c>
      <c r="R5" s="14">
        <f t="shared" si="0"/>
        <v>2063000</v>
      </c>
      <c r="S5" s="14">
        <f t="shared" si="0"/>
        <v>13334000</v>
      </c>
      <c r="T5" s="14">
        <f t="shared" si="0"/>
        <v>181416.95460000003</v>
      </c>
      <c r="U5" s="14">
        <f t="shared" si="0"/>
        <v>215000</v>
      </c>
      <c r="V5" s="14">
        <f t="shared" si="0"/>
        <v>324000</v>
      </c>
      <c r="W5" s="52">
        <f>H5-R5-S5-U5</f>
        <v>103395.1400000006</v>
      </c>
      <c r="X5" s="53"/>
      <c r="Z5" s="181">
        <f>V5-U5</f>
        <v>109000</v>
      </c>
      <c r="AA5" s="182">
        <f>W5-71000</f>
        <v>32395.140000000596</v>
      </c>
    </row>
    <row r="6" spans="1:27" s="180" customFormat="1" ht="26.1" customHeight="1">
      <c r="A6" s="244" t="s">
        <v>116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6"/>
      <c r="V6" s="246"/>
      <c r="W6" s="247"/>
      <c r="X6" s="183"/>
      <c r="Z6" s="182"/>
      <c r="AA6" s="182"/>
    </row>
    <row r="7" spans="1:27" ht="24.95" customHeight="1">
      <c r="A7" s="15" t="s">
        <v>117</v>
      </c>
      <c r="B7" s="8" t="s">
        <v>0</v>
      </c>
      <c r="C7" s="10" t="s">
        <v>118</v>
      </c>
      <c r="D7" s="16"/>
      <c r="E7" s="17" t="s">
        <v>1</v>
      </c>
      <c r="F7" s="17" t="s">
        <v>1</v>
      </c>
      <c r="G7" s="18">
        <f>G8+G21</f>
        <v>89</v>
      </c>
      <c r="H7" s="97">
        <f>I7+J7</f>
        <v>131695.00999999998</v>
      </c>
      <c r="I7" s="19">
        <v>0</v>
      </c>
      <c r="J7" s="19">
        <f>K7+L7</f>
        <v>131695.00999999998</v>
      </c>
      <c r="K7" s="19">
        <f>K8+K9+K21</f>
        <v>124853.98999999999</v>
      </c>
      <c r="L7" s="19">
        <f>SUM(L8:L21)</f>
        <v>6841.02</v>
      </c>
      <c r="M7" s="19">
        <f>M8</f>
        <v>156645.19</v>
      </c>
      <c r="N7" s="19">
        <f>N8</f>
        <v>312.87</v>
      </c>
      <c r="O7" s="19">
        <v>0</v>
      </c>
      <c r="P7" s="19">
        <f>P8</f>
        <v>156332.32</v>
      </c>
      <c r="Q7" s="19">
        <v>0</v>
      </c>
      <c r="R7" s="19">
        <f>R8+R21</f>
        <v>0</v>
      </c>
      <c r="S7" s="19">
        <f>S8+S21</f>
        <v>0</v>
      </c>
      <c r="T7" s="19">
        <f>T8+T21</f>
        <v>0</v>
      </c>
      <c r="U7" s="19">
        <f>U8+U9+U21</f>
        <v>36000</v>
      </c>
      <c r="V7" s="19">
        <f>V8+V21</f>
        <v>0</v>
      </c>
      <c r="W7" s="52">
        <f t="shared" ref="W7" si="1">H7-R7-S7-U7</f>
        <v>95695.00999999998</v>
      </c>
      <c r="X7" s="54"/>
      <c r="Z7" s="6">
        <f>W5-W7-71000</f>
        <v>-63299.869999999384</v>
      </c>
      <c r="AA7" s="6">
        <f>M7+U5-V5</f>
        <v>47645.19</v>
      </c>
    </row>
    <row r="8" spans="1:27" ht="24.95" customHeight="1">
      <c r="A8" s="20" t="s">
        <v>119</v>
      </c>
      <c r="B8" s="21" t="s">
        <v>0</v>
      </c>
      <c r="C8" s="22" t="s">
        <v>120</v>
      </c>
      <c r="D8" s="10" t="s">
        <v>121</v>
      </c>
      <c r="E8" s="17" t="s">
        <v>1</v>
      </c>
      <c r="F8" s="17" t="s">
        <v>1</v>
      </c>
      <c r="G8" s="18" t="s">
        <v>122</v>
      </c>
      <c r="H8" s="98">
        <f>I8+J8</f>
        <v>58028.33</v>
      </c>
      <c r="I8" s="23">
        <v>0</v>
      </c>
      <c r="J8" s="23">
        <f>K8+L8</f>
        <v>58028.33</v>
      </c>
      <c r="K8" s="184">
        <v>51187.31</v>
      </c>
      <c r="L8" s="184">
        <v>6841.02</v>
      </c>
      <c r="M8" s="23">
        <f>N8+P8</f>
        <v>156645.19</v>
      </c>
      <c r="N8" s="23">
        <f>309.04+3.83</f>
        <v>312.87</v>
      </c>
      <c r="O8" s="23"/>
      <c r="P8" s="23">
        <f>77.26+0.95+4890.47+136363.64+15000</f>
        <v>156332.32</v>
      </c>
      <c r="Q8" s="23"/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55">
        <f>H8-S8-U8</f>
        <v>58028.33</v>
      </c>
      <c r="X8" s="54"/>
    </row>
    <row r="9" spans="1:27" ht="24.95" customHeight="1">
      <c r="A9" s="20"/>
      <c r="B9" s="21"/>
      <c r="C9" s="17" t="s">
        <v>1</v>
      </c>
      <c r="D9" s="10" t="s">
        <v>123</v>
      </c>
      <c r="E9" s="24"/>
      <c r="F9" s="24"/>
      <c r="G9" s="17" t="s">
        <v>1</v>
      </c>
      <c r="H9" s="98">
        <f>I9+J9</f>
        <v>41706.18</v>
      </c>
      <c r="I9" s="23">
        <v>0</v>
      </c>
      <c r="J9" s="23">
        <f>K9+L9</f>
        <v>41706.18</v>
      </c>
      <c r="K9" s="23">
        <f>SUM(K10:K20)</f>
        <v>41706.18</v>
      </c>
      <c r="L9" s="23">
        <v>0</v>
      </c>
      <c r="M9" s="23">
        <v>0</v>
      </c>
      <c r="N9" s="23">
        <v>0</v>
      </c>
      <c r="O9" s="23"/>
      <c r="P9" s="23">
        <v>0</v>
      </c>
      <c r="Q9" s="23"/>
      <c r="R9" s="23">
        <v>0</v>
      </c>
      <c r="S9" s="23">
        <v>0</v>
      </c>
      <c r="T9" s="23"/>
      <c r="U9" s="23">
        <v>36000</v>
      </c>
      <c r="V9" s="23">
        <v>0</v>
      </c>
      <c r="W9" s="55">
        <f>H9-R9-S9-U9</f>
        <v>5706.18</v>
      </c>
      <c r="X9" s="54"/>
    </row>
    <row r="10" spans="1:27" ht="24.95" hidden="1" customHeight="1">
      <c r="A10" s="20"/>
      <c r="B10" s="21"/>
      <c r="C10" s="25"/>
      <c r="D10" s="10" t="s">
        <v>124</v>
      </c>
      <c r="E10" s="167"/>
      <c r="F10" s="168"/>
      <c r="G10" s="18"/>
      <c r="H10" s="98"/>
      <c r="I10" s="23"/>
      <c r="J10" s="23"/>
      <c r="K10" s="23">
        <v>20185.96</v>
      </c>
      <c r="L10" s="23"/>
      <c r="M10" s="23"/>
      <c r="N10" s="23"/>
      <c r="O10" s="23"/>
      <c r="P10" s="23"/>
      <c r="Q10" s="23"/>
      <c r="R10" s="23"/>
      <c r="S10" s="23"/>
      <c r="T10" s="23"/>
      <c r="U10" s="169"/>
      <c r="V10" s="169"/>
      <c r="W10" s="55">
        <f t="shared" ref="W10:W19" si="2">H10-S10-U10</f>
        <v>0</v>
      </c>
      <c r="X10" s="54"/>
    </row>
    <row r="11" spans="1:27" ht="24.95" hidden="1" customHeight="1">
      <c r="A11" s="20"/>
      <c r="B11" s="21"/>
      <c r="C11" s="25"/>
      <c r="D11" s="10" t="s">
        <v>125</v>
      </c>
      <c r="E11" s="167"/>
      <c r="F11" s="168"/>
      <c r="G11" s="18"/>
      <c r="H11" s="98"/>
      <c r="I11" s="23"/>
      <c r="J11" s="23"/>
      <c r="K11" s="23">
        <v>140</v>
      </c>
      <c r="L11" s="23"/>
      <c r="M11" s="23"/>
      <c r="N11" s="23"/>
      <c r="O11" s="23"/>
      <c r="P11" s="23"/>
      <c r="Q11" s="23"/>
      <c r="R11" s="23"/>
      <c r="S11" s="23"/>
      <c r="T11" s="23"/>
      <c r="U11" s="169"/>
      <c r="V11" s="169"/>
      <c r="W11" s="55">
        <f t="shared" si="2"/>
        <v>0</v>
      </c>
      <c r="X11" s="54"/>
    </row>
    <row r="12" spans="1:27" ht="24.95" hidden="1" customHeight="1">
      <c r="A12" s="20"/>
      <c r="B12" s="21"/>
      <c r="C12" s="25"/>
      <c r="D12" s="10" t="s">
        <v>126</v>
      </c>
      <c r="E12" s="167"/>
      <c r="F12" s="168"/>
      <c r="G12" s="18"/>
      <c r="H12" s="98"/>
      <c r="I12" s="23"/>
      <c r="J12" s="23"/>
      <c r="K12" s="23">
        <v>109.29</v>
      </c>
      <c r="L12" s="23"/>
      <c r="M12" s="23"/>
      <c r="N12" s="23"/>
      <c r="O12" s="23"/>
      <c r="P12" s="23"/>
      <c r="Q12" s="23"/>
      <c r="R12" s="23"/>
      <c r="S12" s="23"/>
      <c r="T12" s="23"/>
      <c r="U12" s="169"/>
      <c r="V12" s="169"/>
      <c r="W12" s="55">
        <f t="shared" si="2"/>
        <v>0</v>
      </c>
      <c r="X12" s="54"/>
    </row>
    <row r="13" spans="1:27" ht="24.95" hidden="1" customHeight="1">
      <c r="A13" s="20"/>
      <c r="B13" s="21"/>
      <c r="C13" s="25"/>
      <c r="D13" s="10" t="s">
        <v>127</v>
      </c>
      <c r="E13" s="167"/>
      <c r="F13" s="168"/>
      <c r="G13" s="18"/>
      <c r="H13" s="98"/>
      <c r="I13" s="23"/>
      <c r="J13" s="23"/>
      <c r="K13" s="23">
        <v>18.329999999999998</v>
      </c>
      <c r="L13" s="23"/>
      <c r="M13" s="23"/>
      <c r="N13" s="23"/>
      <c r="O13" s="23"/>
      <c r="P13" s="23"/>
      <c r="Q13" s="23"/>
      <c r="R13" s="23"/>
      <c r="S13" s="23"/>
      <c r="T13" s="23"/>
      <c r="U13" s="169"/>
      <c r="V13" s="169"/>
      <c r="W13" s="55">
        <f t="shared" si="2"/>
        <v>0</v>
      </c>
      <c r="X13" s="54"/>
    </row>
    <row r="14" spans="1:27" ht="24.95" hidden="1" customHeight="1">
      <c r="A14" s="20"/>
      <c r="B14" s="21"/>
      <c r="C14" s="25"/>
      <c r="D14" s="10" t="s">
        <v>128</v>
      </c>
      <c r="E14" s="167"/>
      <c r="F14" s="168"/>
      <c r="G14" s="18"/>
      <c r="H14" s="98"/>
      <c r="I14" s="23"/>
      <c r="J14" s="23"/>
      <c r="K14" s="23">
        <v>62</v>
      </c>
      <c r="L14" s="23"/>
      <c r="M14" s="23"/>
      <c r="N14" s="23"/>
      <c r="O14" s="23"/>
      <c r="P14" s="23"/>
      <c r="Q14" s="23"/>
      <c r="R14" s="23"/>
      <c r="S14" s="23"/>
      <c r="T14" s="23"/>
      <c r="U14" s="169"/>
      <c r="V14" s="169"/>
      <c r="W14" s="55">
        <f t="shared" si="2"/>
        <v>0</v>
      </c>
      <c r="X14" s="54"/>
    </row>
    <row r="15" spans="1:27" ht="24.95" hidden="1" customHeight="1">
      <c r="A15" s="20"/>
      <c r="B15" s="21"/>
      <c r="C15" s="25"/>
      <c r="D15" s="10" t="s">
        <v>129</v>
      </c>
      <c r="E15" s="167"/>
      <c r="F15" s="168"/>
      <c r="G15" s="18"/>
      <c r="H15" s="98"/>
      <c r="I15" s="23"/>
      <c r="J15" s="23"/>
      <c r="K15" s="23">
        <v>130.19999999999999</v>
      </c>
      <c r="L15" s="23"/>
      <c r="M15" s="23"/>
      <c r="N15" s="23"/>
      <c r="O15" s="23"/>
      <c r="P15" s="23"/>
      <c r="Q15" s="23"/>
      <c r="R15" s="23"/>
      <c r="S15" s="23"/>
      <c r="T15" s="23"/>
      <c r="U15" s="169"/>
      <c r="V15" s="169"/>
      <c r="W15" s="55">
        <f t="shared" si="2"/>
        <v>0</v>
      </c>
      <c r="X15" s="54"/>
    </row>
    <row r="16" spans="1:27" ht="24.95" hidden="1" customHeight="1">
      <c r="A16" s="20"/>
      <c r="B16" s="21"/>
      <c r="C16" s="25"/>
      <c r="D16" s="10" t="s">
        <v>130</v>
      </c>
      <c r="E16" s="167"/>
      <c r="F16" s="168"/>
      <c r="G16" s="18"/>
      <c r="H16" s="98"/>
      <c r="I16" s="23"/>
      <c r="J16" s="23"/>
      <c r="K16" s="23">
        <v>284.07</v>
      </c>
      <c r="L16" s="23"/>
      <c r="M16" s="23"/>
      <c r="N16" s="23"/>
      <c r="O16" s="23"/>
      <c r="P16" s="23"/>
      <c r="Q16" s="23"/>
      <c r="R16" s="23"/>
      <c r="S16" s="23"/>
      <c r="T16" s="23"/>
      <c r="U16" s="169"/>
      <c r="V16" s="169"/>
      <c r="W16" s="55">
        <f t="shared" si="2"/>
        <v>0</v>
      </c>
      <c r="X16" s="54"/>
    </row>
    <row r="17" spans="1:27" ht="24.95" hidden="1" customHeight="1">
      <c r="A17" s="20"/>
      <c r="B17" s="21"/>
      <c r="C17" s="25"/>
      <c r="D17" s="10" t="s">
        <v>131</v>
      </c>
      <c r="E17" s="167"/>
      <c r="F17" s="168"/>
      <c r="G17" s="18"/>
      <c r="H17" s="98"/>
      <c r="I17" s="23"/>
      <c r="J17" s="23"/>
      <c r="K17" s="23">
        <v>103.98</v>
      </c>
      <c r="L17" s="23"/>
      <c r="M17" s="23"/>
      <c r="N17" s="23"/>
      <c r="O17" s="23"/>
      <c r="P17" s="23"/>
      <c r="Q17" s="23"/>
      <c r="R17" s="23"/>
      <c r="S17" s="23"/>
      <c r="T17" s="23"/>
      <c r="U17" s="169"/>
      <c r="V17" s="169"/>
      <c r="W17" s="55">
        <f t="shared" si="2"/>
        <v>0</v>
      </c>
      <c r="X17" s="54"/>
    </row>
    <row r="18" spans="1:27" ht="24.95" hidden="1" customHeight="1">
      <c r="A18" s="20"/>
      <c r="B18" s="21"/>
      <c r="C18" s="25"/>
      <c r="D18" s="10" t="s">
        <v>132</v>
      </c>
      <c r="E18" s="167"/>
      <c r="F18" s="168"/>
      <c r="G18" s="18"/>
      <c r="H18" s="98"/>
      <c r="I18" s="23"/>
      <c r="J18" s="23"/>
      <c r="K18" s="23">
        <v>15519.35</v>
      </c>
      <c r="L18" s="23"/>
      <c r="M18" s="23"/>
      <c r="N18" s="23"/>
      <c r="O18" s="23"/>
      <c r="P18" s="23"/>
      <c r="Q18" s="23"/>
      <c r="R18" s="23"/>
      <c r="S18" s="23"/>
      <c r="T18" s="23"/>
      <c r="U18" s="169"/>
      <c r="V18" s="169"/>
      <c r="W18" s="55">
        <f t="shared" si="2"/>
        <v>0</v>
      </c>
      <c r="X18" s="54"/>
    </row>
    <row r="19" spans="1:27" ht="24.95" hidden="1" customHeight="1">
      <c r="A19" s="20"/>
      <c r="B19" s="21"/>
      <c r="C19" s="25"/>
      <c r="D19" s="10" t="s">
        <v>133</v>
      </c>
      <c r="E19" s="167"/>
      <c r="F19" s="168"/>
      <c r="G19" s="18"/>
      <c r="H19" s="98"/>
      <c r="I19" s="23"/>
      <c r="J19" s="23"/>
      <c r="K19" s="23">
        <v>153</v>
      </c>
      <c r="L19" s="23"/>
      <c r="M19" s="23"/>
      <c r="N19" s="23"/>
      <c r="O19" s="23"/>
      <c r="P19" s="23"/>
      <c r="Q19" s="23"/>
      <c r="R19" s="23"/>
      <c r="S19" s="23"/>
      <c r="T19" s="23"/>
      <c r="U19" s="169"/>
      <c r="V19" s="169"/>
      <c r="W19" s="55">
        <f t="shared" si="2"/>
        <v>0</v>
      </c>
      <c r="X19" s="54"/>
    </row>
    <row r="20" spans="1:27" ht="24.95" hidden="1" customHeight="1">
      <c r="A20" s="20"/>
      <c r="B20" s="21"/>
      <c r="C20" s="25"/>
      <c r="D20" s="185" t="s">
        <v>2</v>
      </c>
      <c r="E20" s="167"/>
      <c r="F20" s="168"/>
      <c r="G20" s="18"/>
      <c r="H20" s="98"/>
      <c r="I20" s="23"/>
      <c r="J20" s="23"/>
      <c r="K20" s="184">
        <v>5000</v>
      </c>
      <c r="L20" s="23"/>
      <c r="M20" s="23"/>
      <c r="N20" s="23"/>
      <c r="O20" s="23"/>
      <c r="P20" s="23"/>
      <c r="Q20" s="23"/>
      <c r="R20" s="23"/>
      <c r="S20" s="23"/>
      <c r="T20" s="23"/>
      <c r="U20" s="169"/>
      <c r="V20" s="169"/>
      <c r="W20" s="55"/>
      <c r="X20" s="54"/>
    </row>
    <row r="21" spans="1:27" ht="24.95" customHeight="1">
      <c r="A21" s="20" t="s">
        <v>134</v>
      </c>
      <c r="B21" s="21" t="s">
        <v>0</v>
      </c>
      <c r="C21" s="22" t="s">
        <v>135</v>
      </c>
      <c r="D21" s="10" t="s">
        <v>136</v>
      </c>
      <c r="E21" s="17" t="s">
        <v>1</v>
      </c>
      <c r="F21" s="17" t="s">
        <v>1</v>
      </c>
      <c r="G21" s="26">
        <v>5</v>
      </c>
      <c r="H21" s="98">
        <f>I21+J21</f>
        <v>31960.5</v>
      </c>
      <c r="I21" s="23">
        <v>0</v>
      </c>
      <c r="J21" s="23">
        <f>K21+L21</f>
        <v>31960.5</v>
      </c>
      <c r="K21" s="23">
        <v>31960.5</v>
      </c>
      <c r="L21" s="23">
        <v>0</v>
      </c>
      <c r="M21" s="23">
        <v>0</v>
      </c>
      <c r="N21" s="23">
        <v>0</v>
      </c>
      <c r="O21" s="23"/>
      <c r="P21" s="23">
        <v>0</v>
      </c>
      <c r="Q21" s="23"/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55">
        <f>H21-R21-S21-U21</f>
        <v>31960.5</v>
      </c>
      <c r="X21" s="56"/>
      <c r="Y21" s="6">
        <f>N5-O5</f>
        <v>237.04999999998836</v>
      </c>
    </row>
    <row r="22" spans="1:27" ht="24.95" customHeight="1">
      <c r="A22" s="244" t="s">
        <v>137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51"/>
      <c r="X22" s="183"/>
      <c r="Z22" s="11"/>
      <c r="AA22" s="6"/>
    </row>
    <row r="23" spans="1:27" s="180" customFormat="1" ht="24.95" customHeight="1">
      <c r="A23" s="15" t="s">
        <v>138</v>
      </c>
      <c r="B23" s="8" t="s">
        <v>0</v>
      </c>
      <c r="C23" s="10" t="s">
        <v>139</v>
      </c>
      <c r="D23" s="10" t="s">
        <v>140</v>
      </c>
      <c r="E23" s="27">
        <f>E24+E39+E41+E45+E46</f>
        <v>4050000</v>
      </c>
      <c r="F23" s="28">
        <f>H23/E23</f>
        <v>0.75168420740740738</v>
      </c>
      <c r="G23" s="18">
        <f>G24+G39+G41+G45+G46</f>
        <v>29329</v>
      </c>
      <c r="H23" s="97">
        <f>I23+J23</f>
        <v>3044321.04</v>
      </c>
      <c r="I23" s="19">
        <f>SUM(I24,I39,I41,I46)</f>
        <v>339000</v>
      </c>
      <c r="J23" s="19">
        <f>K23+L23</f>
        <v>2705321.04</v>
      </c>
      <c r="K23" s="19">
        <f>K41</f>
        <v>20000</v>
      </c>
      <c r="L23" s="19">
        <f>SUM(L24:L46)</f>
        <v>2685321.04</v>
      </c>
      <c r="M23" s="19">
        <f>SUM(M24:M46)</f>
        <v>195262.28</v>
      </c>
      <c r="N23" s="19">
        <f t="shared" ref="N23:R23" si="3">SUM(N24:N46)</f>
        <v>156209.84000000003</v>
      </c>
      <c r="O23" s="186">
        <f t="shared" si="3"/>
        <v>156210</v>
      </c>
      <c r="P23" s="19">
        <f t="shared" si="3"/>
        <v>39052.44</v>
      </c>
      <c r="Q23" s="186">
        <f t="shared" si="3"/>
        <v>39053</v>
      </c>
      <c r="R23" s="19">
        <f t="shared" si="3"/>
        <v>520000</v>
      </c>
      <c r="S23" s="19">
        <f>S24+S39+S41+S45+S46</f>
        <v>2475300</v>
      </c>
      <c r="T23" s="57">
        <f>T24+T39+T41+T45+T46</f>
        <v>49106.412799999998</v>
      </c>
      <c r="U23" s="19">
        <f>U24+U39+U41+U45+U46</f>
        <v>48900</v>
      </c>
      <c r="V23" s="19">
        <f>V24+V39+V41+V45+V46</f>
        <v>117800</v>
      </c>
      <c r="W23" s="52">
        <f t="shared" ref="W23:W46" si="4">H23-R23-S23-U23</f>
        <v>121.04000000003725</v>
      </c>
      <c r="X23" s="58"/>
      <c r="Z23" s="59"/>
      <c r="AA23" s="182"/>
    </row>
    <row r="24" spans="1:27" ht="24.95" customHeight="1">
      <c r="A24" s="29" t="s">
        <v>141</v>
      </c>
      <c r="B24" s="21" t="s">
        <v>0</v>
      </c>
      <c r="C24" s="22" t="s">
        <v>142</v>
      </c>
      <c r="D24" s="22" t="s">
        <v>3</v>
      </c>
      <c r="E24" s="23">
        <v>2800000</v>
      </c>
      <c r="F24" s="30">
        <f>H24/E24</f>
        <v>0.72614947142857145</v>
      </c>
      <c r="G24" s="31">
        <v>26746</v>
      </c>
      <c r="H24" s="98">
        <f>I24+J24</f>
        <v>2033218.52</v>
      </c>
      <c r="I24" s="23">
        <v>92000</v>
      </c>
      <c r="J24" s="23">
        <f>K24+L24</f>
        <v>1941218.52</v>
      </c>
      <c r="K24" s="23">
        <v>0</v>
      </c>
      <c r="L24" s="23">
        <v>1941218.52</v>
      </c>
      <c r="M24" s="23">
        <f>N24+P24</f>
        <v>150355.13</v>
      </c>
      <c r="N24" s="45">
        <f>120280.31+3.8</f>
        <v>120284.11</v>
      </c>
      <c r="O24" s="187">
        <v>120280</v>
      </c>
      <c r="P24" s="45">
        <f>30070.07+0.95</f>
        <v>30071.02</v>
      </c>
      <c r="Q24" s="187">
        <v>30071</v>
      </c>
      <c r="R24" s="46">
        <v>0</v>
      </c>
      <c r="S24" s="23">
        <v>1994400</v>
      </c>
      <c r="T24" s="60">
        <f>J24/5000*100</f>
        <v>38824.3704</v>
      </c>
      <c r="U24" s="169">
        <v>38800</v>
      </c>
      <c r="V24" s="169">
        <f>U24*2+20000</f>
        <v>97600</v>
      </c>
      <c r="W24" s="55">
        <f t="shared" si="4"/>
        <v>18.520000000018626</v>
      </c>
      <c r="X24" s="61">
        <v>0</v>
      </c>
      <c r="Z24" s="62" t="s">
        <v>143</v>
      </c>
    </row>
    <row r="25" spans="1:27" ht="24.95" hidden="1" customHeight="1">
      <c r="A25" s="29"/>
      <c r="B25" s="21"/>
      <c r="C25" s="22"/>
      <c r="D25" s="22" t="s">
        <v>144</v>
      </c>
      <c r="E25" s="23"/>
      <c r="F25" s="30" t="e">
        <f t="shared" ref="F25:F46" si="5">H25/E25</f>
        <v>#DIV/0!</v>
      </c>
      <c r="G25" s="26"/>
      <c r="H25" s="98"/>
      <c r="I25" s="23">
        <v>5000</v>
      </c>
      <c r="J25" s="23"/>
      <c r="K25" s="23"/>
      <c r="L25" s="23"/>
      <c r="M25" s="23"/>
      <c r="N25" s="23"/>
      <c r="O25" s="188"/>
      <c r="P25" s="23"/>
      <c r="Q25" s="188"/>
      <c r="R25" s="23"/>
      <c r="S25" s="23"/>
      <c r="T25" s="60"/>
      <c r="U25" s="169"/>
      <c r="V25" s="169">
        <f t="shared" ref="V25:V46" si="6">U25*2</f>
        <v>0</v>
      </c>
      <c r="W25" s="55">
        <f t="shared" si="4"/>
        <v>0</v>
      </c>
      <c r="X25" s="61"/>
    </row>
    <row r="26" spans="1:27" ht="24.95" hidden="1" customHeight="1">
      <c r="A26" s="29"/>
      <c r="B26" s="21"/>
      <c r="C26" s="22"/>
      <c r="D26" s="22" t="s">
        <v>145</v>
      </c>
      <c r="E26" s="23"/>
      <c r="F26" s="30" t="e">
        <f t="shared" si="5"/>
        <v>#DIV/0!</v>
      </c>
      <c r="G26" s="26"/>
      <c r="H26" s="98"/>
      <c r="I26" s="23">
        <v>5000</v>
      </c>
      <c r="J26" s="23"/>
      <c r="K26" s="23"/>
      <c r="L26" s="23"/>
      <c r="M26" s="23"/>
      <c r="N26" s="23"/>
      <c r="O26" s="188"/>
      <c r="P26" s="23"/>
      <c r="Q26" s="188"/>
      <c r="R26" s="23"/>
      <c r="S26" s="23"/>
      <c r="T26" s="60"/>
      <c r="U26" s="169"/>
      <c r="V26" s="169">
        <f t="shared" si="6"/>
        <v>0</v>
      </c>
      <c r="W26" s="55">
        <f t="shared" si="4"/>
        <v>0</v>
      </c>
      <c r="X26" s="61"/>
    </row>
    <row r="27" spans="1:27" ht="24.95" hidden="1" customHeight="1">
      <c r="A27" s="29"/>
      <c r="B27" s="21"/>
      <c r="C27" s="22"/>
      <c r="D27" s="22" t="s">
        <v>146</v>
      </c>
      <c r="E27" s="23"/>
      <c r="F27" s="30" t="e">
        <f t="shared" si="5"/>
        <v>#DIV/0!</v>
      </c>
      <c r="G27" s="26"/>
      <c r="H27" s="98"/>
      <c r="I27" s="23">
        <v>5000</v>
      </c>
      <c r="J27" s="23"/>
      <c r="K27" s="23"/>
      <c r="L27" s="23"/>
      <c r="M27" s="23"/>
      <c r="N27" s="23"/>
      <c r="O27" s="188"/>
      <c r="P27" s="23"/>
      <c r="Q27" s="188"/>
      <c r="R27" s="23"/>
      <c r="S27" s="23"/>
      <c r="T27" s="60"/>
      <c r="U27" s="169"/>
      <c r="V27" s="169">
        <f t="shared" si="6"/>
        <v>0</v>
      </c>
      <c r="W27" s="55">
        <f t="shared" si="4"/>
        <v>0</v>
      </c>
      <c r="X27" s="61"/>
    </row>
    <row r="28" spans="1:27" ht="24.95" hidden="1" customHeight="1">
      <c r="A28" s="29"/>
      <c r="B28" s="21"/>
      <c r="C28" s="22"/>
      <c r="D28" s="22" t="s">
        <v>147</v>
      </c>
      <c r="E28" s="23"/>
      <c r="F28" s="30" t="e">
        <f t="shared" si="5"/>
        <v>#DIV/0!</v>
      </c>
      <c r="G28" s="26"/>
      <c r="H28" s="98"/>
      <c r="I28" s="23">
        <v>5000</v>
      </c>
      <c r="J28" s="23"/>
      <c r="K28" s="23"/>
      <c r="L28" s="23"/>
      <c r="M28" s="23"/>
      <c r="N28" s="23"/>
      <c r="O28" s="188"/>
      <c r="P28" s="23"/>
      <c r="Q28" s="188"/>
      <c r="R28" s="23"/>
      <c r="S28" s="23"/>
      <c r="T28" s="60"/>
      <c r="U28" s="169"/>
      <c r="V28" s="169">
        <f t="shared" si="6"/>
        <v>0</v>
      </c>
      <c r="W28" s="55">
        <f t="shared" si="4"/>
        <v>0</v>
      </c>
      <c r="X28" s="61"/>
    </row>
    <row r="29" spans="1:27" ht="24.95" hidden="1" customHeight="1">
      <c r="A29" s="29"/>
      <c r="B29" s="21"/>
      <c r="C29" s="22"/>
      <c r="D29" s="22" t="s">
        <v>148</v>
      </c>
      <c r="E29" s="23"/>
      <c r="F29" s="30" t="e">
        <f t="shared" si="5"/>
        <v>#DIV/0!</v>
      </c>
      <c r="G29" s="26"/>
      <c r="H29" s="98"/>
      <c r="I29" s="23">
        <v>5000</v>
      </c>
      <c r="J29" s="23"/>
      <c r="K29" s="23"/>
      <c r="L29" s="23"/>
      <c r="M29" s="23"/>
      <c r="N29" s="23"/>
      <c r="O29" s="188"/>
      <c r="P29" s="23"/>
      <c r="Q29" s="188"/>
      <c r="R29" s="23"/>
      <c r="S29" s="23"/>
      <c r="T29" s="60"/>
      <c r="U29" s="169"/>
      <c r="V29" s="169">
        <f t="shared" si="6"/>
        <v>0</v>
      </c>
      <c r="W29" s="55">
        <f t="shared" si="4"/>
        <v>0</v>
      </c>
      <c r="X29" s="61"/>
    </row>
    <row r="30" spans="1:27" ht="24.95" hidden="1" customHeight="1">
      <c r="A30" s="29"/>
      <c r="B30" s="21"/>
      <c r="C30" s="22"/>
      <c r="D30" s="22" t="s">
        <v>149</v>
      </c>
      <c r="E30" s="23"/>
      <c r="F30" s="30" t="e">
        <f t="shared" si="5"/>
        <v>#DIV/0!</v>
      </c>
      <c r="G30" s="26"/>
      <c r="H30" s="98"/>
      <c r="I30" s="23">
        <v>5000</v>
      </c>
      <c r="J30" s="23"/>
      <c r="K30" s="23"/>
      <c r="L30" s="23"/>
      <c r="M30" s="23"/>
      <c r="N30" s="23"/>
      <c r="O30" s="188"/>
      <c r="P30" s="23"/>
      <c r="Q30" s="188"/>
      <c r="R30" s="23"/>
      <c r="S30" s="23"/>
      <c r="T30" s="60"/>
      <c r="U30" s="169"/>
      <c r="V30" s="169">
        <f t="shared" si="6"/>
        <v>0</v>
      </c>
      <c r="W30" s="55">
        <f t="shared" si="4"/>
        <v>0</v>
      </c>
      <c r="X30" s="61"/>
    </row>
    <row r="31" spans="1:27" ht="24.95" hidden="1" customHeight="1">
      <c r="A31" s="29"/>
      <c r="B31" s="21"/>
      <c r="C31" s="22"/>
      <c r="D31" s="22" t="s">
        <v>150</v>
      </c>
      <c r="E31" s="23"/>
      <c r="F31" s="30" t="e">
        <f t="shared" si="5"/>
        <v>#DIV/0!</v>
      </c>
      <c r="G31" s="26"/>
      <c r="H31" s="98"/>
      <c r="I31" s="23">
        <v>5000</v>
      </c>
      <c r="J31" s="23"/>
      <c r="K31" s="23"/>
      <c r="L31" s="23"/>
      <c r="M31" s="23"/>
      <c r="N31" s="23"/>
      <c r="O31" s="188"/>
      <c r="P31" s="23"/>
      <c r="Q31" s="188"/>
      <c r="R31" s="23"/>
      <c r="S31" s="23"/>
      <c r="T31" s="60"/>
      <c r="U31" s="169"/>
      <c r="V31" s="169">
        <f t="shared" si="6"/>
        <v>0</v>
      </c>
      <c r="W31" s="55">
        <f t="shared" si="4"/>
        <v>0</v>
      </c>
      <c r="X31" s="61"/>
    </row>
    <row r="32" spans="1:27" ht="24.95" hidden="1" customHeight="1">
      <c r="A32" s="29"/>
      <c r="B32" s="21"/>
      <c r="C32" s="22"/>
      <c r="D32" s="22" t="s">
        <v>151</v>
      </c>
      <c r="E32" s="23"/>
      <c r="F32" s="30" t="e">
        <f t="shared" si="5"/>
        <v>#DIV/0!</v>
      </c>
      <c r="G32" s="26"/>
      <c r="H32" s="98"/>
      <c r="I32" s="23">
        <v>2000</v>
      </c>
      <c r="J32" s="23"/>
      <c r="K32" s="23"/>
      <c r="L32" s="23"/>
      <c r="M32" s="23"/>
      <c r="N32" s="23"/>
      <c r="O32" s="188"/>
      <c r="P32" s="23"/>
      <c r="Q32" s="188"/>
      <c r="R32" s="23"/>
      <c r="S32" s="23"/>
      <c r="T32" s="60"/>
      <c r="U32" s="169"/>
      <c r="V32" s="169">
        <f t="shared" si="6"/>
        <v>0</v>
      </c>
      <c r="W32" s="55">
        <f t="shared" si="4"/>
        <v>0</v>
      </c>
      <c r="X32" s="61"/>
    </row>
    <row r="33" spans="1:26" ht="24.95" hidden="1" customHeight="1">
      <c r="A33" s="29"/>
      <c r="B33" s="21"/>
      <c r="C33" s="22"/>
      <c r="D33" s="22" t="s">
        <v>152</v>
      </c>
      <c r="E33" s="23"/>
      <c r="F33" s="30" t="e">
        <f t="shared" si="5"/>
        <v>#DIV/0!</v>
      </c>
      <c r="G33" s="26"/>
      <c r="H33" s="98"/>
      <c r="I33" s="47">
        <v>10000</v>
      </c>
      <c r="J33" s="23"/>
      <c r="K33" s="23"/>
      <c r="L33" s="23"/>
      <c r="M33" s="23"/>
      <c r="N33" s="23"/>
      <c r="O33" s="188"/>
      <c r="P33" s="23"/>
      <c r="Q33" s="188"/>
      <c r="R33" s="23"/>
      <c r="S33" s="23"/>
      <c r="T33" s="60"/>
      <c r="U33" s="169"/>
      <c r="V33" s="169">
        <f t="shared" si="6"/>
        <v>0</v>
      </c>
      <c r="W33" s="55">
        <f t="shared" si="4"/>
        <v>0</v>
      </c>
      <c r="X33" s="61"/>
    </row>
    <row r="34" spans="1:26" ht="24.95" hidden="1" customHeight="1">
      <c r="A34" s="29"/>
      <c r="B34" s="21"/>
      <c r="C34" s="22"/>
      <c r="D34" s="22" t="s">
        <v>153</v>
      </c>
      <c r="E34" s="23"/>
      <c r="F34" s="30" t="e">
        <f t="shared" si="5"/>
        <v>#DIV/0!</v>
      </c>
      <c r="G34" s="26"/>
      <c r="H34" s="98"/>
      <c r="I34" s="23">
        <v>5000</v>
      </c>
      <c r="J34" s="23"/>
      <c r="K34" s="23"/>
      <c r="L34" s="23"/>
      <c r="M34" s="23"/>
      <c r="N34" s="23"/>
      <c r="O34" s="188"/>
      <c r="P34" s="23"/>
      <c r="Q34" s="188"/>
      <c r="R34" s="23"/>
      <c r="S34" s="23"/>
      <c r="T34" s="60"/>
      <c r="U34" s="169"/>
      <c r="V34" s="169">
        <f t="shared" si="6"/>
        <v>0</v>
      </c>
      <c r="W34" s="55">
        <f t="shared" si="4"/>
        <v>0</v>
      </c>
      <c r="X34" s="61"/>
    </row>
    <row r="35" spans="1:26" ht="24.95" hidden="1" customHeight="1">
      <c r="A35" s="29"/>
      <c r="B35" s="21"/>
      <c r="C35" s="22"/>
      <c r="D35" s="22" t="s">
        <v>154</v>
      </c>
      <c r="E35" s="23"/>
      <c r="F35" s="30" t="e">
        <f t="shared" si="5"/>
        <v>#DIV/0!</v>
      </c>
      <c r="G35" s="26"/>
      <c r="H35" s="98"/>
      <c r="I35" s="23">
        <v>5000</v>
      </c>
      <c r="J35" s="23"/>
      <c r="K35" s="23"/>
      <c r="L35" s="23"/>
      <c r="M35" s="23"/>
      <c r="N35" s="23"/>
      <c r="O35" s="188"/>
      <c r="P35" s="23"/>
      <c r="Q35" s="188"/>
      <c r="R35" s="23"/>
      <c r="S35" s="23"/>
      <c r="T35" s="60"/>
      <c r="U35" s="169"/>
      <c r="V35" s="169">
        <f t="shared" si="6"/>
        <v>0</v>
      </c>
      <c r="W35" s="55">
        <f t="shared" si="4"/>
        <v>0</v>
      </c>
      <c r="X35" s="61"/>
    </row>
    <row r="36" spans="1:26" ht="24.95" hidden="1" customHeight="1">
      <c r="A36" s="29"/>
      <c r="B36" s="21"/>
      <c r="C36" s="22"/>
      <c r="D36" s="22" t="s">
        <v>155</v>
      </c>
      <c r="E36" s="23"/>
      <c r="F36" s="30" t="e">
        <f t="shared" si="5"/>
        <v>#DIV/0!</v>
      </c>
      <c r="G36" s="26"/>
      <c r="H36" s="98"/>
      <c r="I36" s="23">
        <v>5000</v>
      </c>
      <c r="J36" s="23"/>
      <c r="K36" s="23"/>
      <c r="L36" s="23"/>
      <c r="M36" s="23"/>
      <c r="N36" s="23"/>
      <c r="O36" s="188"/>
      <c r="P36" s="23"/>
      <c r="Q36" s="188"/>
      <c r="R36" s="23"/>
      <c r="S36" s="23"/>
      <c r="T36" s="60"/>
      <c r="U36" s="169"/>
      <c r="V36" s="169">
        <f t="shared" si="6"/>
        <v>0</v>
      </c>
      <c r="W36" s="55">
        <f t="shared" si="4"/>
        <v>0</v>
      </c>
      <c r="X36" s="61"/>
    </row>
    <row r="37" spans="1:26" ht="24.95" hidden="1" customHeight="1">
      <c r="A37" s="29"/>
      <c r="B37" s="21"/>
      <c r="C37" s="22"/>
      <c r="D37" s="22" t="s">
        <v>156</v>
      </c>
      <c r="E37" s="23"/>
      <c r="F37" s="30" t="e">
        <f t="shared" si="5"/>
        <v>#DIV/0!</v>
      </c>
      <c r="G37" s="26"/>
      <c r="H37" s="98"/>
      <c r="I37" s="47">
        <v>10000</v>
      </c>
      <c r="J37" s="23"/>
      <c r="K37" s="23"/>
      <c r="L37" s="23"/>
      <c r="M37" s="23"/>
      <c r="N37" s="23"/>
      <c r="O37" s="188"/>
      <c r="P37" s="23"/>
      <c r="Q37" s="188"/>
      <c r="R37" s="23"/>
      <c r="S37" s="23"/>
      <c r="T37" s="60"/>
      <c r="U37" s="169"/>
      <c r="V37" s="169">
        <f t="shared" si="6"/>
        <v>0</v>
      </c>
      <c r="W37" s="55">
        <f t="shared" si="4"/>
        <v>0</v>
      </c>
      <c r="X37" s="61"/>
    </row>
    <row r="38" spans="1:26" ht="24.95" hidden="1" customHeight="1">
      <c r="A38" s="29"/>
      <c r="B38" s="21"/>
      <c r="C38" s="22"/>
      <c r="D38" s="22" t="s">
        <v>157</v>
      </c>
      <c r="E38" s="23"/>
      <c r="F38" s="30" t="e">
        <f t="shared" si="5"/>
        <v>#DIV/0!</v>
      </c>
      <c r="G38" s="26"/>
      <c r="H38" s="98"/>
      <c r="I38" s="23">
        <v>20000</v>
      </c>
      <c r="J38" s="23"/>
      <c r="K38" s="23"/>
      <c r="L38" s="23"/>
      <c r="M38" s="23"/>
      <c r="N38" s="23"/>
      <c r="O38" s="188"/>
      <c r="P38" s="23"/>
      <c r="Q38" s="188"/>
      <c r="R38" s="23"/>
      <c r="S38" s="23"/>
      <c r="T38" s="60"/>
      <c r="U38" s="169"/>
      <c r="V38" s="169">
        <f t="shared" si="6"/>
        <v>0</v>
      </c>
      <c r="W38" s="55">
        <f t="shared" si="4"/>
        <v>0</v>
      </c>
      <c r="X38" s="61"/>
    </row>
    <row r="39" spans="1:26" ht="24.95" customHeight="1">
      <c r="A39" s="29" t="s">
        <v>4</v>
      </c>
      <c r="B39" s="21" t="s">
        <v>0</v>
      </c>
      <c r="C39" s="22" t="s">
        <v>158</v>
      </c>
      <c r="D39" s="22" t="s">
        <v>159</v>
      </c>
      <c r="E39" s="23">
        <v>500000</v>
      </c>
      <c r="F39" s="30">
        <f t="shared" si="5"/>
        <v>1.0100008</v>
      </c>
      <c r="G39" s="26">
        <v>656</v>
      </c>
      <c r="H39" s="98">
        <f>I39+J39</f>
        <v>505000.4</v>
      </c>
      <c r="I39" s="23">
        <f>SUM(I40)</f>
        <v>5000</v>
      </c>
      <c r="J39" s="23">
        <f>K39+L39</f>
        <v>500000.4</v>
      </c>
      <c r="K39" s="23">
        <v>0</v>
      </c>
      <c r="L39" s="23">
        <v>500000.4</v>
      </c>
      <c r="M39" s="23">
        <f>N39+P39</f>
        <v>20888.71</v>
      </c>
      <c r="N39" s="45">
        <v>16710.97</v>
      </c>
      <c r="O39" s="187">
        <v>16710</v>
      </c>
      <c r="P39" s="45">
        <v>4177.74</v>
      </c>
      <c r="Q39" s="187">
        <v>4178</v>
      </c>
      <c r="R39" s="46">
        <v>500000</v>
      </c>
      <c r="S39" s="23">
        <v>0</v>
      </c>
      <c r="T39" s="60">
        <v>5000</v>
      </c>
      <c r="U39" s="169">
        <v>5000</v>
      </c>
      <c r="V39" s="169">
        <f t="shared" si="6"/>
        <v>10000</v>
      </c>
      <c r="W39" s="55">
        <f t="shared" si="4"/>
        <v>0.40000000002328306</v>
      </c>
      <c r="X39" s="61">
        <v>0</v>
      </c>
    </row>
    <row r="40" spans="1:26" ht="24.95" hidden="1" customHeight="1">
      <c r="A40" s="29"/>
      <c r="B40" s="21"/>
      <c r="C40" s="22"/>
      <c r="D40" s="22" t="s">
        <v>160</v>
      </c>
      <c r="E40" s="23"/>
      <c r="F40" s="30" t="e">
        <f t="shared" si="5"/>
        <v>#DIV/0!</v>
      </c>
      <c r="G40" s="26"/>
      <c r="H40" s="98"/>
      <c r="I40" s="23">
        <v>5000</v>
      </c>
      <c r="J40" s="23"/>
      <c r="K40" s="23"/>
      <c r="L40" s="23"/>
      <c r="M40" s="23"/>
      <c r="N40" s="23"/>
      <c r="O40" s="188"/>
      <c r="P40" s="23"/>
      <c r="Q40" s="188"/>
      <c r="R40" s="23"/>
      <c r="S40" s="23"/>
      <c r="T40" s="60"/>
      <c r="U40" s="169"/>
      <c r="V40" s="169">
        <f t="shared" si="6"/>
        <v>0</v>
      </c>
      <c r="W40" s="55">
        <f t="shared" si="4"/>
        <v>0</v>
      </c>
      <c r="X40" s="61"/>
    </row>
    <row r="41" spans="1:26" ht="24.95" customHeight="1">
      <c r="A41" s="29" t="s">
        <v>5</v>
      </c>
      <c r="B41" s="21" t="s">
        <v>0</v>
      </c>
      <c r="C41" s="22" t="s">
        <v>161</v>
      </c>
      <c r="D41" s="22" t="s">
        <v>162</v>
      </c>
      <c r="E41" s="23">
        <v>300000</v>
      </c>
      <c r="F41" s="30">
        <f t="shared" si="5"/>
        <v>0.67746516666666667</v>
      </c>
      <c r="G41" s="26">
        <v>233</v>
      </c>
      <c r="H41" s="98">
        <f>I41+J41</f>
        <v>203239.55</v>
      </c>
      <c r="I41" s="23">
        <f>SUM(I42:I44)</f>
        <v>150000</v>
      </c>
      <c r="J41" s="23">
        <f>K41+L41</f>
        <v>53239.55</v>
      </c>
      <c r="K41" s="23">
        <v>20000</v>
      </c>
      <c r="L41" s="23">
        <v>33239.550000000003</v>
      </c>
      <c r="M41" s="23">
        <f>N41+P41</f>
        <v>2478.35</v>
      </c>
      <c r="N41" s="45">
        <f>1982.6+0.08</f>
        <v>1982.6799999999998</v>
      </c>
      <c r="O41" s="187">
        <v>1980</v>
      </c>
      <c r="P41" s="45">
        <f>495.65+0.02</f>
        <v>495.66999999999996</v>
      </c>
      <c r="Q41" s="187">
        <v>496</v>
      </c>
      <c r="R41" s="46">
        <v>20000</v>
      </c>
      <c r="S41" s="23">
        <v>182200</v>
      </c>
      <c r="T41" s="60">
        <f>J41/5000*100</f>
        <v>1064.7910000000002</v>
      </c>
      <c r="U41" s="169">
        <v>1000</v>
      </c>
      <c r="V41" s="169">
        <f t="shared" si="6"/>
        <v>2000</v>
      </c>
      <c r="W41" s="55">
        <f t="shared" si="4"/>
        <v>39.549999999988358</v>
      </c>
      <c r="X41" s="61">
        <v>0</v>
      </c>
      <c r="Y41" s="6"/>
    </row>
    <row r="42" spans="1:26" s="180" customFormat="1" ht="24.95" hidden="1" customHeight="1">
      <c r="A42" s="15"/>
      <c r="B42" s="8"/>
      <c r="C42" s="10"/>
      <c r="D42" s="10" t="s">
        <v>163</v>
      </c>
      <c r="E42" s="23"/>
      <c r="F42" s="30"/>
      <c r="G42" s="18"/>
      <c r="H42" s="97"/>
      <c r="I42" s="23">
        <v>50000</v>
      </c>
      <c r="J42" s="19"/>
      <c r="K42" s="19"/>
      <c r="L42" s="19"/>
      <c r="M42" s="19"/>
      <c r="N42" s="19"/>
      <c r="O42" s="186"/>
      <c r="P42" s="19"/>
      <c r="Q42" s="186"/>
      <c r="R42" s="19"/>
      <c r="S42" s="23"/>
      <c r="T42" s="57"/>
      <c r="U42" s="63"/>
      <c r="V42" s="169">
        <f t="shared" si="6"/>
        <v>0</v>
      </c>
      <c r="W42" s="55">
        <f t="shared" si="4"/>
        <v>0</v>
      </c>
      <c r="X42" s="58"/>
      <c r="Z42" s="182"/>
    </row>
    <row r="43" spans="1:26" s="180" customFormat="1" ht="24.95" hidden="1" customHeight="1">
      <c r="A43" s="15"/>
      <c r="B43" s="8"/>
      <c r="C43" s="10"/>
      <c r="D43" s="10" t="s">
        <v>164</v>
      </c>
      <c r="E43" s="23"/>
      <c r="F43" s="30"/>
      <c r="G43" s="18"/>
      <c r="H43" s="97"/>
      <c r="I43" s="23">
        <v>50000</v>
      </c>
      <c r="J43" s="19"/>
      <c r="K43" s="19"/>
      <c r="L43" s="19"/>
      <c r="M43" s="19"/>
      <c r="N43" s="19"/>
      <c r="O43" s="186"/>
      <c r="P43" s="19"/>
      <c r="Q43" s="186"/>
      <c r="R43" s="19"/>
      <c r="S43" s="23"/>
      <c r="T43" s="57"/>
      <c r="U43" s="64"/>
      <c r="V43" s="169">
        <f t="shared" si="6"/>
        <v>0</v>
      </c>
      <c r="W43" s="55">
        <f t="shared" si="4"/>
        <v>0</v>
      </c>
      <c r="X43" s="58"/>
      <c r="Z43" s="182"/>
    </row>
    <row r="44" spans="1:26" s="180" customFormat="1" ht="24.95" hidden="1" customHeight="1">
      <c r="A44" s="15"/>
      <c r="B44" s="8"/>
      <c r="C44" s="10"/>
      <c r="D44" s="10" t="s">
        <v>165</v>
      </c>
      <c r="E44" s="23"/>
      <c r="F44" s="30"/>
      <c r="G44" s="18"/>
      <c r="H44" s="97"/>
      <c r="I44" s="23">
        <v>50000</v>
      </c>
      <c r="J44" s="19"/>
      <c r="K44" s="19"/>
      <c r="L44" s="19"/>
      <c r="M44" s="19"/>
      <c r="N44" s="48"/>
      <c r="O44" s="189"/>
      <c r="P44" s="48"/>
      <c r="Q44" s="189"/>
      <c r="R44" s="49"/>
      <c r="S44" s="23"/>
      <c r="T44" s="57"/>
      <c r="U44" s="64"/>
      <c r="V44" s="169"/>
      <c r="W44" s="55">
        <f t="shared" si="4"/>
        <v>0</v>
      </c>
      <c r="X44" s="58"/>
      <c r="Z44" s="182"/>
    </row>
    <row r="45" spans="1:26" ht="24.95" customHeight="1">
      <c r="A45" s="29" t="s">
        <v>6</v>
      </c>
      <c r="B45" s="21" t="s">
        <v>0</v>
      </c>
      <c r="C45" s="22" t="s">
        <v>166</v>
      </c>
      <c r="D45" s="22" t="s">
        <v>7</v>
      </c>
      <c r="E45" s="23">
        <v>200000</v>
      </c>
      <c r="F45" s="30">
        <f t="shared" si="5"/>
        <v>0.68534485000000001</v>
      </c>
      <c r="G45" s="26">
        <v>1536</v>
      </c>
      <c r="H45" s="98">
        <f>I45+J45</f>
        <v>137068.97</v>
      </c>
      <c r="I45" s="23">
        <v>0</v>
      </c>
      <c r="J45" s="23">
        <f>K45+L45</f>
        <v>137068.97</v>
      </c>
      <c r="K45" s="23">
        <v>0</v>
      </c>
      <c r="L45" s="23">
        <v>137068.97</v>
      </c>
      <c r="M45" s="23">
        <f>N45+P45</f>
        <v>15105.94</v>
      </c>
      <c r="N45" s="45">
        <f>12079.45+5.31</f>
        <v>12084.76</v>
      </c>
      <c r="O45" s="187">
        <v>12090</v>
      </c>
      <c r="P45" s="45">
        <f>3019.86+1.32</f>
        <v>3021.1800000000003</v>
      </c>
      <c r="Q45" s="187">
        <v>3021</v>
      </c>
      <c r="R45" s="46">
        <v>0</v>
      </c>
      <c r="S45" s="23">
        <v>134300</v>
      </c>
      <c r="T45" s="60">
        <f>J45/5000*100</f>
        <v>2741.3793999999998</v>
      </c>
      <c r="U45" s="169">
        <v>2700</v>
      </c>
      <c r="V45" s="169">
        <f t="shared" si="6"/>
        <v>5400</v>
      </c>
      <c r="W45" s="55">
        <f t="shared" si="4"/>
        <v>68.970000000001164</v>
      </c>
      <c r="X45" s="61">
        <v>0</v>
      </c>
    </row>
    <row r="46" spans="1:26" ht="24.95" customHeight="1">
      <c r="A46" s="29" t="s">
        <v>8</v>
      </c>
      <c r="B46" s="21" t="s">
        <v>0</v>
      </c>
      <c r="C46" s="22" t="s">
        <v>167</v>
      </c>
      <c r="D46" s="22" t="s">
        <v>168</v>
      </c>
      <c r="E46" s="23">
        <v>250000</v>
      </c>
      <c r="F46" s="30">
        <f t="shared" si="5"/>
        <v>0.66317440000000005</v>
      </c>
      <c r="G46" s="26">
        <v>158</v>
      </c>
      <c r="H46" s="98">
        <f>I46+J46</f>
        <v>165793.60000000001</v>
      </c>
      <c r="I46" s="23">
        <f>SUM(I47:I51)</f>
        <v>92000</v>
      </c>
      <c r="J46" s="23">
        <f>K46+L46</f>
        <v>73793.600000000006</v>
      </c>
      <c r="K46" s="23">
        <v>0</v>
      </c>
      <c r="L46" s="23">
        <v>73793.600000000006</v>
      </c>
      <c r="M46" s="23">
        <f>N46+P46</f>
        <v>6434.15</v>
      </c>
      <c r="N46" s="45">
        <v>5147.32</v>
      </c>
      <c r="O46" s="187">
        <v>5150</v>
      </c>
      <c r="P46" s="45">
        <v>1286.83</v>
      </c>
      <c r="Q46" s="187">
        <v>1287</v>
      </c>
      <c r="R46" s="46">
        <v>0</v>
      </c>
      <c r="S46" s="23">
        <v>164400</v>
      </c>
      <c r="T46" s="60">
        <f>J46/5000*100</f>
        <v>1475.8720000000001</v>
      </c>
      <c r="U46" s="169">
        <v>1400</v>
      </c>
      <c r="V46" s="169">
        <f t="shared" si="6"/>
        <v>2800</v>
      </c>
      <c r="W46" s="55">
        <f t="shared" si="4"/>
        <v>-6.3999999999941792</v>
      </c>
      <c r="X46" s="61">
        <v>0</v>
      </c>
    </row>
    <row r="47" spans="1:26" ht="16.5" hidden="1">
      <c r="A47" s="23"/>
      <c r="B47" s="23"/>
      <c r="C47" s="23"/>
      <c r="D47" s="22" t="s">
        <v>169</v>
      </c>
      <c r="E47" s="32"/>
      <c r="F47" s="33"/>
      <c r="G47" s="34"/>
      <c r="H47" s="98"/>
      <c r="I47" s="23">
        <v>20000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65"/>
      <c r="V47" s="65"/>
      <c r="W47" s="66"/>
      <c r="X47" s="66"/>
    </row>
    <row r="48" spans="1:26" ht="16.5" hidden="1">
      <c r="A48" s="23"/>
      <c r="B48" s="23"/>
      <c r="C48" s="23"/>
      <c r="D48" s="22" t="s">
        <v>170</v>
      </c>
      <c r="E48" s="32"/>
      <c r="F48" s="33"/>
      <c r="G48" s="34"/>
      <c r="H48" s="98"/>
      <c r="I48" s="23">
        <v>12000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65"/>
      <c r="V48" s="65"/>
      <c r="W48" s="66"/>
      <c r="X48" s="66"/>
    </row>
    <row r="49" spans="1:26" ht="16.5" hidden="1">
      <c r="A49" s="23"/>
      <c r="B49" s="23"/>
      <c r="C49" s="23"/>
      <c r="D49" s="22" t="s">
        <v>171</v>
      </c>
      <c r="E49" s="32"/>
      <c r="F49" s="33"/>
      <c r="G49" s="34"/>
      <c r="H49" s="98"/>
      <c r="I49" s="23">
        <v>20000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65"/>
      <c r="V49" s="65"/>
      <c r="W49" s="66"/>
      <c r="X49" s="66"/>
    </row>
    <row r="50" spans="1:26" ht="16.5" hidden="1">
      <c r="A50" s="23"/>
      <c r="B50" s="23"/>
      <c r="C50" s="23"/>
      <c r="D50" s="22" t="s">
        <v>172</v>
      </c>
      <c r="E50" s="32"/>
      <c r="F50" s="33"/>
      <c r="G50" s="34"/>
      <c r="H50" s="98"/>
      <c r="I50" s="23">
        <v>20000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65"/>
      <c r="V50" s="65"/>
      <c r="W50" s="66"/>
      <c r="X50" s="66"/>
    </row>
    <row r="51" spans="1:26" ht="16.5" hidden="1">
      <c r="A51" s="23"/>
      <c r="B51" s="23"/>
      <c r="C51" s="23"/>
      <c r="D51" s="22" t="s">
        <v>173</v>
      </c>
      <c r="E51" s="32"/>
      <c r="F51" s="33"/>
      <c r="G51" s="34"/>
      <c r="H51" s="98"/>
      <c r="I51" s="23">
        <v>20000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65"/>
      <c r="V51" s="65"/>
      <c r="W51" s="66"/>
      <c r="X51" s="66"/>
    </row>
    <row r="52" spans="1:26" ht="24.95" customHeight="1">
      <c r="A52" s="252" t="s">
        <v>174</v>
      </c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4"/>
      <c r="X52" s="190"/>
    </row>
    <row r="53" spans="1:26" s="180" customFormat="1" ht="24.95" customHeight="1">
      <c r="A53" s="15" t="s">
        <v>175</v>
      </c>
      <c r="B53" s="35" t="s">
        <v>0</v>
      </c>
      <c r="C53" s="10" t="s">
        <v>176</v>
      </c>
      <c r="D53" s="36" t="s">
        <v>177</v>
      </c>
      <c r="E53" s="17" t="s">
        <v>1</v>
      </c>
      <c r="F53" s="17" t="s">
        <v>1</v>
      </c>
      <c r="G53" s="37" t="s">
        <v>1</v>
      </c>
      <c r="H53" s="144" t="s">
        <v>1</v>
      </c>
      <c r="I53" s="17" t="s">
        <v>1</v>
      </c>
      <c r="J53" s="17" t="s">
        <v>1</v>
      </c>
      <c r="K53" s="17" t="s">
        <v>1</v>
      </c>
      <c r="L53" s="17" t="s">
        <v>1</v>
      </c>
      <c r="M53" s="17" t="s">
        <v>1</v>
      </c>
      <c r="N53" s="17" t="s">
        <v>1</v>
      </c>
      <c r="O53" s="17"/>
      <c r="P53" s="17" t="s">
        <v>1</v>
      </c>
      <c r="Q53" s="17"/>
      <c r="R53" s="17" t="s">
        <v>1</v>
      </c>
      <c r="S53" s="17" t="s">
        <v>1</v>
      </c>
      <c r="T53" s="17" t="s">
        <v>1</v>
      </c>
      <c r="U53" s="17" t="s">
        <v>1</v>
      </c>
      <c r="V53" s="17" t="s">
        <v>1</v>
      </c>
      <c r="W53" s="67" t="s">
        <v>1</v>
      </c>
      <c r="X53" s="58"/>
      <c r="Z53" s="182"/>
    </row>
    <row r="54" spans="1:26" ht="24.95" customHeight="1">
      <c r="A54" s="244" t="s">
        <v>178</v>
      </c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6"/>
      <c r="V54" s="246"/>
      <c r="W54" s="247"/>
      <c r="X54" s="183"/>
    </row>
    <row r="55" spans="1:26" s="180" customFormat="1" ht="24.95" customHeight="1">
      <c r="A55" s="15" t="s">
        <v>179</v>
      </c>
      <c r="B55" s="35" t="s">
        <v>0</v>
      </c>
      <c r="C55" s="10" t="s">
        <v>180</v>
      </c>
      <c r="D55" s="10" t="s">
        <v>181</v>
      </c>
      <c r="E55" s="38">
        <f>E56+E58+E61+E67+E77+E78+E79</f>
        <v>1250000</v>
      </c>
      <c r="F55" s="39">
        <f>H55/E55</f>
        <v>0.90194619200000004</v>
      </c>
      <c r="G55" s="18">
        <f>G58+G56+G61+G67+G77+G78+G79</f>
        <v>7769</v>
      </c>
      <c r="H55" s="97">
        <f>I55+J55</f>
        <v>1127432.74</v>
      </c>
      <c r="I55" s="19">
        <f>I56+I58+I61+I65+I67+I77+I78+I79</f>
        <v>792500</v>
      </c>
      <c r="J55" s="19">
        <f>J56+J58+J61+J65+J67+J77+J78+J79</f>
        <v>334932.74</v>
      </c>
      <c r="K55" s="19">
        <f>K56+K58+K61+K67+K77+K78+K79</f>
        <v>0</v>
      </c>
      <c r="L55" s="19">
        <f>L56+L58+L61+L67+L77+L78+L79</f>
        <v>334932.74</v>
      </c>
      <c r="M55" s="19">
        <f t="shared" ref="M55:V55" si="7">M56+M58+M61+M65+M67+M77+M78+M79</f>
        <v>21284.730000000003</v>
      </c>
      <c r="N55" s="19">
        <f t="shared" si="7"/>
        <v>17027.800000000003</v>
      </c>
      <c r="O55" s="186">
        <f t="shared" si="7"/>
        <v>17010</v>
      </c>
      <c r="P55" s="19">
        <f t="shared" si="7"/>
        <v>4256.93</v>
      </c>
      <c r="Q55" s="186">
        <f t="shared" si="7"/>
        <v>4226</v>
      </c>
      <c r="R55" s="19">
        <f t="shared" si="7"/>
        <v>0</v>
      </c>
      <c r="S55" s="19">
        <f t="shared" si="7"/>
        <v>1120800</v>
      </c>
      <c r="T55" s="19">
        <f t="shared" si="7"/>
        <v>6698.6547999999993</v>
      </c>
      <c r="U55" s="19">
        <f t="shared" si="7"/>
        <v>6600</v>
      </c>
      <c r="V55" s="19">
        <f t="shared" si="7"/>
        <v>13200</v>
      </c>
      <c r="W55" s="52">
        <f>H55-R55-S55-U55</f>
        <v>32.739999999990687</v>
      </c>
      <c r="X55" s="58"/>
      <c r="Z55" s="59"/>
    </row>
    <row r="56" spans="1:26" s="180" customFormat="1" ht="24.95" customHeight="1">
      <c r="A56" s="29" t="s">
        <v>182</v>
      </c>
      <c r="B56" s="40" t="s">
        <v>0</v>
      </c>
      <c r="C56" s="22" t="s">
        <v>183</v>
      </c>
      <c r="D56" s="22" t="s">
        <v>184</v>
      </c>
      <c r="E56" s="23">
        <v>150000</v>
      </c>
      <c r="F56" s="41">
        <f>H56/E56</f>
        <v>0.33576666666666666</v>
      </c>
      <c r="G56" s="26">
        <v>20</v>
      </c>
      <c r="H56" s="98">
        <f>I56+J56</f>
        <v>50365</v>
      </c>
      <c r="I56" s="23">
        <f>SUM(I57)</f>
        <v>50000</v>
      </c>
      <c r="J56" s="23">
        <f>K56+L56</f>
        <v>365</v>
      </c>
      <c r="K56" s="23">
        <v>0</v>
      </c>
      <c r="L56" s="23">
        <v>365</v>
      </c>
      <c r="M56" s="23">
        <f>N56+P56</f>
        <v>106.47</v>
      </c>
      <c r="N56" s="45">
        <v>85.18</v>
      </c>
      <c r="O56" s="191">
        <v>100</v>
      </c>
      <c r="P56" s="192">
        <v>21.29</v>
      </c>
      <c r="Q56" s="193">
        <v>0</v>
      </c>
      <c r="R56" s="51">
        <v>0</v>
      </c>
      <c r="S56" s="23">
        <v>50400</v>
      </c>
      <c r="T56" s="23">
        <f>J56/5000*100</f>
        <v>7.3</v>
      </c>
      <c r="U56" s="169">
        <v>0</v>
      </c>
      <c r="V56" s="169">
        <f t="shared" ref="V56" si="8">U56*2</f>
        <v>0</v>
      </c>
      <c r="W56" s="55">
        <f>H56-R56-S56-U56</f>
        <v>-35</v>
      </c>
      <c r="X56" s="58"/>
      <c r="Z56" s="182"/>
    </row>
    <row r="57" spans="1:26" s="180" customFormat="1" ht="24.95" hidden="1" customHeight="1">
      <c r="A57" s="29"/>
      <c r="B57" s="40"/>
      <c r="C57" s="22"/>
      <c r="D57" s="42" t="s">
        <v>185</v>
      </c>
      <c r="E57" s="23"/>
      <c r="F57" s="41" t="e">
        <f t="shared" ref="F57:F61" si="9">H57/E57</f>
        <v>#DIV/0!</v>
      </c>
      <c r="G57" s="26"/>
      <c r="H57" s="98"/>
      <c r="I57" s="47">
        <v>50000</v>
      </c>
      <c r="J57" s="23"/>
      <c r="K57" s="23"/>
      <c r="L57" s="23"/>
      <c r="M57" s="23"/>
      <c r="N57" s="23"/>
      <c r="O57" s="194"/>
      <c r="P57" s="169"/>
      <c r="Q57" s="194"/>
      <c r="R57" s="23"/>
      <c r="S57" s="23"/>
      <c r="T57" s="23"/>
      <c r="U57" s="169"/>
      <c r="V57" s="169"/>
      <c r="W57" s="55"/>
      <c r="X57" s="58"/>
      <c r="Z57" s="182"/>
    </row>
    <row r="58" spans="1:26" s="180" customFormat="1" ht="24.95" customHeight="1">
      <c r="A58" s="29" t="s">
        <v>9</v>
      </c>
      <c r="B58" s="40" t="s">
        <v>0</v>
      </c>
      <c r="C58" s="22" t="s">
        <v>186</v>
      </c>
      <c r="D58" s="22" t="s">
        <v>10</v>
      </c>
      <c r="E58" s="23">
        <v>150000</v>
      </c>
      <c r="F58" s="41">
        <f t="shared" si="9"/>
        <v>0.6690666666666667</v>
      </c>
      <c r="G58" s="26">
        <v>5</v>
      </c>
      <c r="H58" s="98">
        <f>I58+J58</f>
        <v>100360</v>
      </c>
      <c r="I58" s="23">
        <f>I59+I60</f>
        <v>100000</v>
      </c>
      <c r="J58" s="23">
        <f>K58+L58</f>
        <v>360</v>
      </c>
      <c r="K58" s="23">
        <v>0</v>
      </c>
      <c r="L58" s="23">
        <v>360</v>
      </c>
      <c r="M58" s="23">
        <f>N58+P58</f>
        <v>28.57</v>
      </c>
      <c r="N58" s="23">
        <v>22.86</v>
      </c>
      <c r="O58" s="194">
        <v>0</v>
      </c>
      <c r="P58" s="169">
        <v>5.71</v>
      </c>
      <c r="Q58" s="194">
        <v>0</v>
      </c>
      <c r="R58" s="51">
        <v>0</v>
      </c>
      <c r="S58" s="23">
        <v>100400</v>
      </c>
      <c r="T58" s="23">
        <f>J58/5000*100</f>
        <v>7.1999999999999993</v>
      </c>
      <c r="U58" s="169">
        <v>0</v>
      </c>
      <c r="V58" s="169">
        <f t="shared" ref="V58" si="10">U58*2</f>
        <v>0</v>
      </c>
      <c r="W58" s="55">
        <f>H58-R58-S58-U58</f>
        <v>-40</v>
      </c>
      <c r="X58" s="58"/>
      <c r="Z58" s="182"/>
    </row>
    <row r="59" spans="1:26" s="180" customFormat="1" ht="24.95" hidden="1" customHeight="1">
      <c r="A59" s="29"/>
      <c r="B59" s="40"/>
      <c r="C59" s="22"/>
      <c r="D59" s="42" t="s">
        <v>187</v>
      </c>
      <c r="E59" s="23"/>
      <c r="F59" s="41"/>
      <c r="G59" s="26"/>
      <c r="H59" s="98"/>
      <c r="I59" s="23">
        <v>64000</v>
      </c>
      <c r="J59" s="23"/>
      <c r="K59" s="23"/>
      <c r="L59" s="23"/>
      <c r="M59" s="23"/>
      <c r="N59" s="23"/>
      <c r="O59" s="194"/>
      <c r="P59" s="169"/>
      <c r="Q59" s="194"/>
      <c r="R59" s="51"/>
      <c r="S59" s="23"/>
      <c r="T59" s="23"/>
      <c r="U59" s="169"/>
      <c r="V59" s="169"/>
      <c r="W59" s="55"/>
      <c r="X59" s="58"/>
      <c r="Z59" s="182"/>
    </row>
    <row r="60" spans="1:26" s="180" customFormat="1" ht="24.95" hidden="1" customHeight="1">
      <c r="A60" s="29"/>
      <c r="B60" s="40"/>
      <c r="C60" s="22" t="s">
        <v>188</v>
      </c>
      <c r="D60" s="42" t="s">
        <v>187</v>
      </c>
      <c r="E60" s="23"/>
      <c r="F60" s="41"/>
      <c r="G60" s="26"/>
      <c r="H60" s="98"/>
      <c r="I60" s="23">
        <v>36000</v>
      </c>
      <c r="J60" s="23"/>
      <c r="K60" s="23"/>
      <c r="L60" s="23"/>
      <c r="M60" s="23"/>
      <c r="N60" s="23"/>
      <c r="O60" s="194"/>
      <c r="P60" s="169"/>
      <c r="Q60" s="194"/>
      <c r="R60" s="51"/>
      <c r="S60" s="23"/>
      <c r="T60" s="23"/>
      <c r="U60" s="169"/>
      <c r="V60" s="169"/>
      <c r="W60" s="55"/>
      <c r="X60" s="58"/>
      <c r="Z60" s="182"/>
    </row>
    <row r="61" spans="1:26" s="180" customFormat="1" ht="24.95" customHeight="1">
      <c r="A61" s="29" t="s">
        <v>11</v>
      </c>
      <c r="B61" s="40" t="s">
        <v>0</v>
      </c>
      <c r="C61" s="22" t="s">
        <v>189</v>
      </c>
      <c r="D61" s="22" t="s">
        <v>12</v>
      </c>
      <c r="E61" s="23">
        <v>230000</v>
      </c>
      <c r="F61" s="41">
        <f t="shared" si="9"/>
        <v>0.48740752173913043</v>
      </c>
      <c r="G61" s="26">
        <v>553</v>
      </c>
      <c r="H61" s="98">
        <f>I61+J61</f>
        <v>112103.73</v>
      </c>
      <c r="I61" s="23">
        <f>SUM(I62+I63+I64)</f>
        <v>80000</v>
      </c>
      <c r="J61" s="23">
        <f>K61+L61</f>
        <v>32103.73</v>
      </c>
      <c r="K61" s="23">
        <v>0</v>
      </c>
      <c r="L61" s="23">
        <v>32103.73</v>
      </c>
      <c r="M61" s="23">
        <f>N61+P61</f>
        <v>8671.9000000000015</v>
      </c>
      <c r="N61" s="23">
        <v>6937.52</v>
      </c>
      <c r="O61" s="194">
        <v>6940</v>
      </c>
      <c r="P61" s="169">
        <v>1734.38</v>
      </c>
      <c r="Q61" s="194">
        <v>1734</v>
      </c>
      <c r="R61" s="51">
        <v>0</v>
      </c>
      <c r="S61" s="23">
        <v>111500</v>
      </c>
      <c r="T61" s="23">
        <f>J61/5000*100</f>
        <v>642.07460000000003</v>
      </c>
      <c r="U61" s="169">
        <v>600</v>
      </c>
      <c r="V61" s="169">
        <f>U61*2</f>
        <v>1200</v>
      </c>
      <c r="W61" s="55">
        <f>H61-R61-S61-U61</f>
        <v>3.7299999999959255</v>
      </c>
      <c r="X61" s="58"/>
      <c r="Z61" s="182" t="s">
        <v>190</v>
      </c>
    </row>
    <row r="62" spans="1:26" s="180" customFormat="1" ht="24.95" hidden="1" customHeight="1">
      <c r="A62" s="29"/>
      <c r="B62" s="40"/>
      <c r="C62" s="22"/>
      <c r="D62" s="42" t="s">
        <v>191</v>
      </c>
      <c r="E62" s="23"/>
      <c r="F62" s="23"/>
      <c r="G62" s="26"/>
      <c r="H62" s="98"/>
      <c r="I62" s="23">
        <v>20000</v>
      </c>
      <c r="J62" s="23"/>
      <c r="K62" s="23"/>
      <c r="L62" s="23"/>
      <c r="M62" s="23"/>
      <c r="N62" s="23"/>
      <c r="O62" s="194"/>
      <c r="P62" s="169"/>
      <c r="Q62" s="194"/>
      <c r="R62" s="51"/>
      <c r="S62" s="23"/>
      <c r="T62" s="23"/>
      <c r="U62" s="169"/>
      <c r="V62" s="169"/>
      <c r="W62" s="55"/>
      <c r="X62" s="58"/>
      <c r="Z62" s="182"/>
    </row>
    <row r="63" spans="1:26" s="180" customFormat="1" ht="24.95" hidden="1" customHeight="1">
      <c r="A63" s="29"/>
      <c r="B63" s="40"/>
      <c r="C63" s="22"/>
      <c r="D63" s="42" t="s">
        <v>192</v>
      </c>
      <c r="E63" s="23"/>
      <c r="F63" s="23"/>
      <c r="G63" s="26"/>
      <c r="H63" s="98"/>
      <c r="I63" s="23">
        <v>30000</v>
      </c>
      <c r="J63" s="23"/>
      <c r="K63" s="23"/>
      <c r="L63" s="23"/>
      <c r="M63" s="23"/>
      <c r="N63" s="23"/>
      <c r="O63" s="194"/>
      <c r="P63" s="169"/>
      <c r="Q63" s="194"/>
      <c r="R63" s="51"/>
      <c r="S63" s="23"/>
      <c r="T63" s="23"/>
      <c r="U63" s="169"/>
      <c r="V63" s="169"/>
      <c r="W63" s="55"/>
      <c r="X63" s="58"/>
      <c r="Z63" s="182"/>
    </row>
    <row r="64" spans="1:26" s="180" customFormat="1" ht="24.95" hidden="1" customHeight="1">
      <c r="A64" s="29"/>
      <c r="B64" s="40"/>
      <c r="C64" s="22"/>
      <c r="D64" s="195" t="s">
        <v>13</v>
      </c>
      <c r="E64" s="23"/>
      <c r="F64" s="23"/>
      <c r="G64" s="26"/>
      <c r="H64" s="98"/>
      <c r="I64" s="196">
        <v>30000</v>
      </c>
      <c r="J64" s="23"/>
      <c r="K64" s="23"/>
      <c r="L64" s="23"/>
      <c r="M64" s="23"/>
      <c r="N64" s="23"/>
      <c r="O64" s="194"/>
      <c r="P64" s="169"/>
      <c r="Q64" s="194"/>
      <c r="R64" s="51"/>
      <c r="S64" s="23"/>
      <c r="T64" s="23"/>
      <c r="U64" s="169"/>
      <c r="V64" s="169"/>
      <c r="W64" s="55"/>
      <c r="X64" s="58"/>
      <c r="Z64" s="182"/>
    </row>
    <row r="65" spans="1:26" s="180" customFormat="1" ht="24.95" customHeight="1">
      <c r="A65" s="29" t="s">
        <v>14</v>
      </c>
      <c r="B65" s="40" t="s">
        <v>0</v>
      </c>
      <c r="C65" s="22" t="s">
        <v>193</v>
      </c>
      <c r="D65" s="22" t="s">
        <v>194</v>
      </c>
      <c r="E65" s="17" t="s">
        <v>1</v>
      </c>
      <c r="F65" s="17" t="s">
        <v>1</v>
      </c>
      <c r="G65" s="37" t="s">
        <v>195</v>
      </c>
      <c r="H65" s="98">
        <f>I65+J65</f>
        <v>100000</v>
      </c>
      <c r="I65" s="23">
        <f>I66</f>
        <v>100000</v>
      </c>
      <c r="J65" s="51">
        <v>0</v>
      </c>
      <c r="K65" s="51" t="s">
        <v>1</v>
      </c>
      <c r="L65" s="51" t="s">
        <v>1</v>
      </c>
      <c r="M65" s="51">
        <v>0</v>
      </c>
      <c r="N65" s="51">
        <v>0</v>
      </c>
      <c r="O65" s="197">
        <v>0</v>
      </c>
      <c r="P65" s="51">
        <v>0</v>
      </c>
      <c r="Q65" s="197">
        <v>0</v>
      </c>
      <c r="R65" s="51">
        <v>0</v>
      </c>
      <c r="S65" s="23">
        <v>100000</v>
      </c>
      <c r="T65" s="17">
        <v>0</v>
      </c>
      <c r="U65" s="23">
        <v>0</v>
      </c>
      <c r="V65" s="23">
        <f t="shared" ref="V65" si="11">U65*2</f>
        <v>0</v>
      </c>
      <c r="W65" s="55">
        <f>H65-R65-S65-U65</f>
        <v>0</v>
      </c>
      <c r="X65" s="56"/>
      <c r="Z65" s="182"/>
    </row>
    <row r="66" spans="1:26" s="180" customFormat="1" ht="24.95" hidden="1" customHeight="1">
      <c r="A66" s="29"/>
      <c r="B66" s="40"/>
      <c r="C66" s="22"/>
      <c r="D66" s="36" t="s">
        <v>196</v>
      </c>
      <c r="E66" s="17"/>
      <c r="F66" s="17"/>
      <c r="G66" s="37"/>
      <c r="H66" s="144"/>
      <c r="I66" s="17">
        <v>100000</v>
      </c>
      <c r="J66" s="17"/>
      <c r="K66" s="17"/>
      <c r="L66" s="17"/>
      <c r="M66" s="17"/>
      <c r="N66" s="23"/>
      <c r="O66" s="194"/>
      <c r="P66" s="169"/>
      <c r="Q66" s="194"/>
      <c r="R66" s="51"/>
      <c r="S66" s="17"/>
      <c r="T66" s="17"/>
      <c r="U66" s="68"/>
      <c r="V66" s="68"/>
      <c r="W66" s="67"/>
      <c r="X66" s="56"/>
      <c r="Z66" s="182"/>
    </row>
    <row r="67" spans="1:26" s="180" customFormat="1" ht="24.95" customHeight="1">
      <c r="A67" s="29" t="s">
        <v>15</v>
      </c>
      <c r="B67" s="40" t="s">
        <v>0</v>
      </c>
      <c r="C67" s="22" t="s">
        <v>197</v>
      </c>
      <c r="D67" s="36" t="s">
        <v>16</v>
      </c>
      <c r="E67" s="23">
        <v>270000</v>
      </c>
      <c r="F67" s="41">
        <f t="shared" ref="F67:F79" si="12">H67/E67</f>
        <v>1.1580444444444444</v>
      </c>
      <c r="G67" s="26">
        <v>8</v>
      </c>
      <c r="H67" s="98">
        <f>I67+J67</f>
        <v>312672</v>
      </c>
      <c r="I67" s="23">
        <f>SUM(I68:I76)</f>
        <v>312500</v>
      </c>
      <c r="J67" s="23">
        <f>K67+L67</f>
        <v>172</v>
      </c>
      <c r="K67" s="23">
        <v>0</v>
      </c>
      <c r="L67" s="23">
        <v>172</v>
      </c>
      <c r="M67" s="23">
        <f>N67+P67</f>
        <v>20.56</v>
      </c>
      <c r="N67" s="23">
        <v>16.45</v>
      </c>
      <c r="O67" s="194">
        <v>0</v>
      </c>
      <c r="P67" s="169">
        <v>4.1100000000000003</v>
      </c>
      <c r="Q67" s="194">
        <v>0</v>
      </c>
      <c r="R67" s="51">
        <v>0</v>
      </c>
      <c r="S67" s="23">
        <v>312700</v>
      </c>
      <c r="T67" s="23">
        <f>J67/5000*100</f>
        <v>3.44</v>
      </c>
      <c r="U67" s="169">
        <v>0</v>
      </c>
      <c r="V67" s="169">
        <f t="shared" ref="V67" si="13">U67*2</f>
        <v>0</v>
      </c>
      <c r="W67" s="55">
        <f>H67-R67-S67-U67</f>
        <v>-28</v>
      </c>
      <c r="X67" s="56"/>
      <c r="Z67" s="182" t="s">
        <v>198</v>
      </c>
    </row>
    <row r="68" spans="1:26" s="180" customFormat="1" ht="24.95" hidden="1" customHeight="1">
      <c r="A68" s="29"/>
      <c r="B68" s="40"/>
      <c r="C68" s="22"/>
      <c r="D68" s="36" t="s">
        <v>199</v>
      </c>
      <c r="E68" s="23"/>
      <c r="F68" s="41"/>
      <c r="G68" s="26"/>
      <c r="H68" s="98"/>
      <c r="I68" s="23">
        <v>20000</v>
      </c>
      <c r="J68" s="23"/>
      <c r="K68" s="23"/>
      <c r="L68" s="23"/>
      <c r="M68" s="23"/>
      <c r="N68" s="23"/>
      <c r="O68" s="194"/>
      <c r="P68" s="169"/>
      <c r="Q68" s="194"/>
      <c r="R68" s="51"/>
      <c r="S68" s="23"/>
      <c r="T68" s="23"/>
      <c r="U68" s="169"/>
      <c r="V68" s="169"/>
      <c r="W68" s="55"/>
      <c r="X68" s="56"/>
      <c r="Z68" s="182"/>
    </row>
    <row r="69" spans="1:26" s="180" customFormat="1" ht="24.95" hidden="1" customHeight="1">
      <c r="A69" s="29"/>
      <c r="B69" s="40"/>
      <c r="C69" s="22"/>
      <c r="D69" s="36" t="s">
        <v>200</v>
      </c>
      <c r="E69" s="23"/>
      <c r="F69" s="41"/>
      <c r="G69" s="26"/>
      <c r="H69" s="98"/>
      <c r="I69" s="23">
        <v>150000</v>
      </c>
      <c r="J69" s="23"/>
      <c r="K69" s="23"/>
      <c r="L69" s="23"/>
      <c r="M69" s="23"/>
      <c r="N69" s="23"/>
      <c r="O69" s="194"/>
      <c r="P69" s="169"/>
      <c r="Q69" s="194"/>
      <c r="R69" s="51"/>
      <c r="S69" s="23"/>
      <c r="T69" s="23"/>
      <c r="U69" s="169"/>
      <c r="V69" s="169"/>
      <c r="W69" s="55"/>
      <c r="X69" s="56"/>
      <c r="Z69" s="182"/>
    </row>
    <row r="70" spans="1:26" s="180" customFormat="1" ht="24.95" hidden="1" customHeight="1">
      <c r="A70" s="29"/>
      <c r="B70" s="40"/>
      <c r="C70" s="22"/>
      <c r="D70" s="36" t="s">
        <v>201</v>
      </c>
      <c r="E70" s="23"/>
      <c r="F70" s="41"/>
      <c r="G70" s="26"/>
      <c r="H70" s="98"/>
      <c r="I70" s="23">
        <v>20000</v>
      </c>
      <c r="J70" s="23"/>
      <c r="K70" s="23"/>
      <c r="L70" s="23"/>
      <c r="M70" s="23"/>
      <c r="N70" s="23"/>
      <c r="O70" s="194"/>
      <c r="P70" s="169"/>
      <c r="Q70" s="194"/>
      <c r="R70" s="51"/>
      <c r="S70" s="23"/>
      <c r="T70" s="23"/>
      <c r="U70" s="169"/>
      <c r="V70" s="169"/>
      <c r="W70" s="55"/>
      <c r="X70" s="56"/>
      <c r="Z70" s="182"/>
    </row>
    <row r="71" spans="1:26" s="180" customFormat="1" ht="24.95" hidden="1" customHeight="1">
      <c r="A71" s="29"/>
      <c r="B71" s="40"/>
      <c r="C71" s="22"/>
      <c r="D71" s="36" t="s">
        <v>202</v>
      </c>
      <c r="E71" s="23"/>
      <c r="F71" s="41"/>
      <c r="G71" s="26"/>
      <c r="H71" s="98"/>
      <c r="I71" s="23">
        <v>22500</v>
      </c>
      <c r="J71" s="23"/>
      <c r="K71" s="23"/>
      <c r="L71" s="23"/>
      <c r="M71" s="23"/>
      <c r="N71" s="23"/>
      <c r="O71" s="194"/>
      <c r="P71" s="169"/>
      <c r="Q71" s="194"/>
      <c r="R71" s="51"/>
      <c r="S71" s="23"/>
      <c r="T71" s="23"/>
      <c r="U71" s="169"/>
      <c r="V71" s="169"/>
      <c r="W71" s="55"/>
      <c r="X71" s="56"/>
      <c r="Z71" s="182"/>
    </row>
    <row r="72" spans="1:26" s="180" customFormat="1" ht="24.95" hidden="1" customHeight="1">
      <c r="A72" s="29"/>
      <c r="B72" s="40"/>
      <c r="C72" s="22"/>
      <c r="D72" s="36" t="s">
        <v>203</v>
      </c>
      <c r="E72" s="23"/>
      <c r="F72" s="41"/>
      <c r="G72" s="26"/>
      <c r="H72" s="98"/>
      <c r="I72" s="23">
        <v>20000</v>
      </c>
      <c r="J72" s="23"/>
      <c r="K72" s="23"/>
      <c r="L72" s="23"/>
      <c r="M72" s="23"/>
      <c r="N72" s="23"/>
      <c r="O72" s="194"/>
      <c r="P72" s="169"/>
      <c r="Q72" s="194"/>
      <c r="R72" s="51"/>
      <c r="S72" s="23"/>
      <c r="T72" s="23"/>
      <c r="U72" s="169"/>
      <c r="V72" s="169"/>
      <c r="W72" s="55"/>
      <c r="X72" s="56"/>
      <c r="Z72" s="182"/>
    </row>
    <row r="73" spans="1:26" s="180" customFormat="1" ht="24.95" hidden="1" customHeight="1">
      <c r="A73" s="29"/>
      <c r="B73" s="40"/>
      <c r="C73" s="22"/>
      <c r="D73" s="36" t="s">
        <v>204</v>
      </c>
      <c r="E73" s="23"/>
      <c r="F73" s="41"/>
      <c r="G73" s="26"/>
      <c r="H73" s="98"/>
      <c r="I73" s="23">
        <v>20000</v>
      </c>
      <c r="J73" s="23"/>
      <c r="K73" s="23"/>
      <c r="L73" s="23"/>
      <c r="M73" s="23"/>
      <c r="N73" s="23"/>
      <c r="O73" s="194"/>
      <c r="P73" s="169"/>
      <c r="Q73" s="194"/>
      <c r="R73" s="51"/>
      <c r="S73" s="23"/>
      <c r="T73" s="23"/>
      <c r="U73" s="169"/>
      <c r="V73" s="169"/>
      <c r="W73" s="55"/>
      <c r="X73" s="56"/>
      <c r="Z73" s="182"/>
    </row>
    <row r="74" spans="1:26" s="180" customFormat="1" ht="24.95" hidden="1" customHeight="1">
      <c r="A74" s="29"/>
      <c r="B74" s="40"/>
      <c r="C74" s="22"/>
      <c r="D74" s="36" t="s">
        <v>205</v>
      </c>
      <c r="E74" s="23"/>
      <c r="F74" s="41"/>
      <c r="G74" s="26"/>
      <c r="H74" s="98"/>
      <c r="I74" s="23">
        <v>20000</v>
      </c>
      <c r="J74" s="23"/>
      <c r="K74" s="23"/>
      <c r="L74" s="23"/>
      <c r="M74" s="23"/>
      <c r="N74" s="45"/>
      <c r="O74" s="191"/>
      <c r="P74" s="50"/>
      <c r="Q74" s="193"/>
      <c r="R74" s="51"/>
      <c r="S74" s="23"/>
      <c r="T74" s="23"/>
      <c r="U74" s="169"/>
      <c r="V74" s="169"/>
      <c r="W74" s="55"/>
      <c r="X74" s="56"/>
      <c r="Z74" s="182"/>
    </row>
    <row r="75" spans="1:26" s="180" customFormat="1" ht="24.95" hidden="1" customHeight="1">
      <c r="A75" s="29"/>
      <c r="B75" s="40"/>
      <c r="C75" s="22"/>
      <c r="D75" s="36" t="s">
        <v>206</v>
      </c>
      <c r="E75" s="23"/>
      <c r="F75" s="41"/>
      <c r="G75" s="26"/>
      <c r="H75" s="98"/>
      <c r="I75" s="23">
        <v>20000</v>
      </c>
      <c r="J75" s="23"/>
      <c r="K75" s="23"/>
      <c r="L75" s="23"/>
      <c r="M75" s="23"/>
      <c r="N75" s="23"/>
      <c r="O75" s="194"/>
      <c r="P75" s="169"/>
      <c r="Q75" s="194"/>
      <c r="R75" s="51"/>
      <c r="S75" s="23"/>
      <c r="T75" s="23"/>
      <c r="U75" s="169"/>
      <c r="V75" s="169"/>
      <c r="W75" s="55"/>
      <c r="X75" s="56"/>
      <c r="Z75" s="182"/>
    </row>
    <row r="76" spans="1:26" s="180" customFormat="1" ht="24.95" hidden="1" customHeight="1">
      <c r="A76" s="29"/>
      <c r="B76" s="40"/>
      <c r="C76" s="22"/>
      <c r="D76" s="36" t="s">
        <v>207</v>
      </c>
      <c r="E76" s="23"/>
      <c r="F76" s="41"/>
      <c r="G76" s="26"/>
      <c r="H76" s="98"/>
      <c r="I76" s="23">
        <v>20000</v>
      </c>
      <c r="J76" s="23"/>
      <c r="K76" s="23"/>
      <c r="L76" s="23"/>
      <c r="M76" s="23"/>
      <c r="N76" s="23"/>
      <c r="O76" s="188"/>
      <c r="P76" s="23"/>
      <c r="Q76" s="188"/>
      <c r="R76" s="51"/>
      <c r="S76" s="23"/>
      <c r="T76" s="23"/>
      <c r="U76" s="169"/>
      <c r="V76" s="169"/>
      <c r="W76" s="55"/>
      <c r="X76" s="56"/>
      <c r="Z76" s="182"/>
    </row>
    <row r="77" spans="1:26" s="180" customFormat="1" ht="24.95" customHeight="1">
      <c r="A77" s="29" t="s">
        <v>17</v>
      </c>
      <c r="B77" s="40" t="s">
        <v>0</v>
      </c>
      <c r="C77" s="22" t="s">
        <v>208</v>
      </c>
      <c r="D77" s="22" t="s">
        <v>209</v>
      </c>
      <c r="E77" s="23">
        <v>150000</v>
      </c>
      <c r="F77" s="41">
        <f t="shared" si="12"/>
        <v>1.0125459999999999</v>
      </c>
      <c r="G77" s="26">
        <v>143</v>
      </c>
      <c r="H77" s="98">
        <f t="shared" ref="H77:H79" si="14">I77+J77</f>
        <v>151881.9</v>
      </c>
      <c r="I77" s="23">
        <v>0</v>
      </c>
      <c r="J77" s="23">
        <f t="shared" ref="J77:J79" si="15">K77+L77</f>
        <v>151881.9</v>
      </c>
      <c r="K77" s="23">
        <v>0</v>
      </c>
      <c r="L77" s="23">
        <v>151881.9</v>
      </c>
      <c r="M77" s="75">
        <f>N77+P77</f>
        <v>12457.230000000001</v>
      </c>
      <c r="N77" s="76">
        <v>9965.7900000000009</v>
      </c>
      <c r="O77" s="198">
        <v>9970</v>
      </c>
      <c r="P77" s="77">
        <v>2491.44</v>
      </c>
      <c r="Q77" s="193">
        <v>2492</v>
      </c>
      <c r="R77" s="78">
        <v>0</v>
      </c>
      <c r="S77" s="23">
        <v>148800</v>
      </c>
      <c r="T77" s="23">
        <f>J77/5000*100</f>
        <v>3037.6379999999999</v>
      </c>
      <c r="U77" s="169">
        <v>3000</v>
      </c>
      <c r="V77" s="169">
        <f>U77*2</f>
        <v>6000</v>
      </c>
      <c r="W77" s="55">
        <f>H77-R77-S77-U77</f>
        <v>81.899999999994179</v>
      </c>
      <c r="X77" s="56"/>
      <c r="Z77" s="182"/>
    </row>
    <row r="78" spans="1:26" s="180" customFormat="1" ht="24.95" customHeight="1">
      <c r="A78" s="29" t="s">
        <v>210</v>
      </c>
      <c r="B78" s="40" t="s">
        <v>0</v>
      </c>
      <c r="C78" s="22" t="s">
        <v>211</v>
      </c>
      <c r="D78" s="22" t="s">
        <v>18</v>
      </c>
      <c r="E78" s="23">
        <v>150000</v>
      </c>
      <c r="F78" s="41">
        <f t="shared" si="12"/>
        <v>1.0003140666666666</v>
      </c>
      <c r="G78" s="26">
        <v>7038</v>
      </c>
      <c r="H78" s="98">
        <f t="shared" si="14"/>
        <v>150047.10999999999</v>
      </c>
      <c r="I78" s="23">
        <v>0</v>
      </c>
      <c r="J78" s="23">
        <f t="shared" si="15"/>
        <v>150047.10999999999</v>
      </c>
      <c r="K78" s="23">
        <v>0</v>
      </c>
      <c r="L78" s="23">
        <v>150047.10999999999</v>
      </c>
      <c r="M78" s="23">
        <v>0</v>
      </c>
      <c r="N78" s="23">
        <v>0</v>
      </c>
      <c r="O78" s="194">
        <v>0</v>
      </c>
      <c r="P78" s="169">
        <v>0</v>
      </c>
      <c r="Q78" s="194">
        <v>0</v>
      </c>
      <c r="R78" s="51">
        <v>0</v>
      </c>
      <c r="S78" s="23">
        <v>147000</v>
      </c>
      <c r="T78" s="23">
        <f>J78/5000*100</f>
        <v>3000.9421999999995</v>
      </c>
      <c r="U78" s="169">
        <v>3000</v>
      </c>
      <c r="V78" s="169">
        <f t="shared" ref="V78:V79" si="16">U78*2</f>
        <v>6000</v>
      </c>
      <c r="W78" s="55">
        <f>H78-R78-S78-U78</f>
        <v>47.10999999998603</v>
      </c>
      <c r="X78" s="56"/>
      <c r="Z78" s="182"/>
    </row>
    <row r="79" spans="1:26" s="180" customFormat="1" ht="24.95" customHeight="1">
      <c r="A79" s="29" t="s">
        <v>19</v>
      </c>
      <c r="B79" s="40" t="s">
        <v>0</v>
      </c>
      <c r="C79" s="22" t="s">
        <v>212</v>
      </c>
      <c r="D79" s="36" t="s">
        <v>20</v>
      </c>
      <c r="E79" s="23">
        <v>150000</v>
      </c>
      <c r="F79" s="41">
        <f t="shared" si="12"/>
        <v>1.0000199999999999</v>
      </c>
      <c r="G79" s="26">
        <v>2</v>
      </c>
      <c r="H79" s="98">
        <f t="shared" si="14"/>
        <v>150003</v>
      </c>
      <c r="I79" s="23">
        <f>SUM(I80:I99)</f>
        <v>150000</v>
      </c>
      <c r="J79" s="23">
        <f t="shared" si="15"/>
        <v>3</v>
      </c>
      <c r="K79" s="23">
        <v>0</v>
      </c>
      <c r="L79" s="23">
        <v>3</v>
      </c>
      <c r="M79" s="23">
        <v>0</v>
      </c>
      <c r="N79" s="23">
        <v>0</v>
      </c>
      <c r="O79" s="194">
        <v>0</v>
      </c>
      <c r="P79" s="169">
        <v>0</v>
      </c>
      <c r="Q79" s="194">
        <v>0</v>
      </c>
      <c r="R79" s="51">
        <v>0</v>
      </c>
      <c r="S79" s="23">
        <v>150000</v>
      </c>
      <c r="T79" s="23">
        <f>J79/5000*100</f>
        <v>0.06</v>
      </c>
      <c r="U79" s="23">
        <v>0</v>
      </c>
      <c r="V79" s="169">
        <f t="shared" si="16"/>
        <v>0</v>
      </c>
      <c r="W79" s="55">
        <f>H79-R79-S79-U79</f>
        <v>3</v>
      </c>
      <c r="X79" s="56"/>
      <c r="Z79" s="182" t="s">
        <v>198</v>
      </c>
    </row>
    <row r="80" spans="1:26" s="180" customFormat="1" ht="24.95" hidden="1" customHeight="1">
      <c r="A80" s="69"/>
      <c r="B80" s="70"/>
      <c r="C80" s="22"/>
      <c r="D80" s="36" t="s">
        <v>213</v>
      </c>
      <c r="E80" s="23"/>
      <c r="F80" s="41"/>
      <c r="G80" s="26"/>
      <c r="H80" s="98"/>
      <c r="I80" s="23">
        <v>30000</v>
      </c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169"/>
      <c r="W80" s="61"/>
      <c r="X80" s="56"/>
      <c r="Z80" s="182"/>
    </row>
    <row r="81" spans="1:26" s="180" customFormat="1" ht="24.95" hidden="1" customHeight="1">
      <c r="A81" s="69"/>
      <c r="B81" s="70"/>
      <c r="C81" s="22"/>
      <c r="D81" s="36" t="s">
        <v>214</v>
      </c>
      <c r="E81" s="23"/>
      <c r="F81" s="41"/>
      <c r="G81" s="26"/>
      <c r="H81" s="98"/>
      <c r="I81" s="23">
        <v>10000</v>
      </c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61"/>
      <c r="X81" s="56"/>
      <c r="Z81" s="182"/>
    </row>
    <row r="82" spans="1:26" s="180" customFormat="1" ht="24.95" hidden="1" customHeight="1">
      <c r="A82" s="69"/>
      <c r="B82" s="70"/>
      <c r="C82" s="22"/>
      <c r="D82" s="36" t="s">
        <v>215</v>
      </c>
      <c r="E82" s="23"/>
      <c r="F82" s="41"/>
      <c r="G82" s="26"/>
      <c r="H82" s="98"/>
      <c r="I82" s="23">
        <v>10000</v>
      </c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61"/>
      <c r="X82" s="56"/>
      <c r="Z82" s="182"/>
    </row>
    <row r="83" spans="1:26" s="180" customFormat="1" ht="24.95" hidden="1" customHeight="1">
      <c r="A83" s="69"/>
      <c r="B83" s="70"/>
      <c r="C83" s="22"/>
      <c r="D83" s="36" t="s">
        <v>216</v>
      </c>
      <c r="E83" s="23"/>
      <c r="F83" s="41"/>
      <c r="G83" s="26"/>
      <c r="H83" s="98"/>
      <c r="I83" s="23">
        <v>3000</v>
      </c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61"/>
      <c r="X83" s="56"/>
      <c r="Z83" s="182"/>
    </row>
    <row r="84" spans="1:26" s="180" customFormat="1" ht="24.95" hidden="1" customHeight="1">
      <c r="A84" s="69"/>
      <c r="B84" s="70"/>
      <c r="C84" s="22"/>
      <c r="D84" s="36" t="s">
        <v>217</v>
      </c>
      <c r="E84" s="23"/>
      <c r="F84" s="41"/>
      <c r="G84" s="26"/>
      <c r="H84" s="98"/>
      <c r="I84" s="23">
        <v>2000</v>
      </c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61"/>
      <c r="X84" s="56"/>
      <c r="Z84" s="182"/>
    </row>
    <row r="85" spans="1:26" s="180" customFormat="1" ht="24.95" hidden="1" customHeight="1">
      <c r="A85" s="69"/>
      <c r="B85" s="70"/>
      <c r="C85" s="22"/>
      <c r="D85" s="36" t="s">
        <v>218</v>
      </c>
      <c r="E85" s="23"/>
      <c r="F85" s="41"/>
      <c r="G85" s="26"/>
      <c r="H85" s="98"/>
      <c r="I85" s="23">
        <v>10000</v>
      </c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61"/>
      <c r="X85" s="56"/>
      <c r="Z85" s="182"/>
    </row>
    <row r="86" spans="1:26" s="180" customFormat="1" ht="24.95" hidden="1" customHeight="1">
      <c r="A86" s="69"/>
      <c r="B86" s="70"/>
      <c r="C86" s="22"/>
      <c r="D86" s="36" t="s">
        <v>219</v>
      </c>
      <c r="E86" s="23"/>
      <c r="F86" s="41"/>
      <c r="G86" s="26"/>
      <c r="H86" s="98"/>
      <c r="I86" s="23">
        <v>3000</v>
      </c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61"/>
      <c r="X86" s="56"/>
      <c r="Z86" s="182"/>
    </row>
    <row r="87" spans="1:26" s="180" customFormat="1" ht="24.95" hidden="1" customHeight="1">
      <c r="A87" s="69"/>
      <c r="B87" s="70"/>
      <c r="C87" s="22"/>
      <c r="D87" s="36" t="s">
        <v>220</v>
      </c>
      <c r="E87" s="23"/>
      <c r="F87" s="41"/>
      <c r="G87" s="26"/>
      <c r="H87" s="98"/>
      <c r="I87" s="23">
        <v>3000</v>
      </c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61"/>
      <c r="X87" s="56"/>
      <c r="Z87" s="182"/>
    </row>
    <row r="88" spans="1:26" s="180" customFormat="1" ht="24.95" hidden="1" customHeight="1">
      <c r="A88" s="69"/>
      <c r="B88" s="70"/>
      <c r="C88" s="22"/>
      <c r="D88" s="36" t="s">
        <v>221</v>
      </c>
      <c r="E88" s="23"/>
      <c r="F88" s="41"/>
      <c r="G88" s="26"/>
      <c r="H88" s="98"/>
      <c r="I88" s="23">
        <v>20000</v>
      </c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61"/>
      <c r="X88" s="56"/>
      <c r="Z88" s="182"/>
    </row>
    <row r="89" spans="1:26" s="180" customFormat="1" ht="24.95" hidden="1" customHeight="1">
      <c r="A89" s="69"/>
      <c r="B89" s="70"/>
      <c r="C89" s="22"/>
      <c r="D89" s="36" t="s">
        <v>222</v>
      </c>
      <c r="E89" s="23"/>
      <c r="F89" s="41"/>
      <c r="G89" s="26"/>
      <c r="H89" s="98"/>
      <c r="I89" s="23">
        <v>10000</v>
      </c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61"/>
      <c r="X89" s="56"/>
      <c r="Z89" s="182"/>
    </row>
    <row r="90" spans="1:26" s="180" customFormat="1" ht="24.95" hidden="1" customHeight="1">
      <c r="A90" s="69"/>
      <c r="B90" s="70"/>
      <c r="C90" s="22"/>
      <c r="D90" s="36" t="s">
        <v>223</v>
      </c>
      <c r="E90" s="23"/>
      <c r="F90" s="41"/>
      <c r="G90" s="26"/>
      <c r="H90" s="98"/>
      <c r="I90" s="23">
        <v>3000</v>
      </c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61"/>
      <c r="X90" s="56"/>
      <c r="Z90" s="182"/>
    </row>
    <row r="91" spans="1:26" s="180" customFormat="1" ht="24.95" hidden="1" customHeight="1">
      <c r="A91" s="69"/>
      <c r="B91" s="70"/>
      <c r="C91" s="22"/>
      <c r="D91" s="36" t="s">
        <v>224</v>
      </c>
      <c r="E91" s="23"/>
      <c r="F91" s="41"/>
      <c r="G91" s="26"/>
      <c r="H91" s="98"/>
      <c r="I91" s="23">
        <v>3000</v>
      </c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61"/>
      <c r="X91" s="56"/>
      <c r="Z91" s="182"/>
    </row>
    <row r="92" spans="1:26" s="180" customFormat="1" ht="24.95" hidden="1" customHeight="1">
      <c r="A92" s="69"/>
      <c r="B92" s="70"/>
      <c r="C92" s="22"/>
      <c r="D92" s="36" t="s">
        <v>225</v>
      </c>
      <c r="E92" s="23"/>
      <c r="F92" s="41"/>
      <c r="G92" s="26"/>
      <c r="H92" s="98"/>
      <c r="I92" s="23">
        <v>3000</v>
      </c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61"/>
      <c r="X92" s="56"/>
      <c r="Z92" s="182"/>
    </row>
    <row r="93" spans="1:26" s="180" customFormat="1" ht="24.95" hidden="1" customHeight="1">
      <c r="A93" s="69"/>
      <c r="B93" s="70"/>
      <c r="C93" s="22"/>
      <c r="D93" s="36" t="s">
        <v>226</v>
      </c>
      <c r="E93" s="23"/>
      <c r="F93" s="41"/>
      <c r="G93" s="26"/>
      <c r="H93" s="98"/>
      <c r="I93" s="23">
        <v>4000</v>
      </c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61"/>
      <c r="X93" s="56"/>
      <c r="Z93" s="182"/>
    </row>
    <row r="94" spans="1:26" s="180" customFormat="1" ht="24.95" hidden="1" customHeight="1">
      <c r="A94" s="69"/>
      <c r="B94" s="70"/>
      <c r="C94" s="22"/>
      <c r="D94" s="36" t="s">
        <v>227</v>
      </c>
      <c r="E94" s="23"/>
      <c r="F94" s="41"/>
      <c r="G94" s="26"/>
      <c r="H94" s="98"/>
      <c r="I94" s="23">
        <v>3000</v>
      </c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61"/>
      <c r="X94" s="56"/>
      <c r="Z94" s="182"/>
    </row>
    <row r="95" spans="1:26" s="180" customFormat="1" ht="24.95" hidden="1" customHeight="1">
      <c r="A95" s="69"/>
      <c r="B95" s="70"/>
      <c r="C95" s="22"/>
      <c r="D95" s="36" t="s">
        <v>228</v>
      </c>
      <c r="E95" s="23"/>
      <c r="F95" s="41"/>
      <c r="G95" s="26"/>
      <c r="H95" s="98"/>
      <c r="I95" s="23">
        <v>5000</v>
      </c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61"/>
      <c r="X95" s="56"/>
      <c r="Z95" s="182"/>
    </row>
    <row r="96" spans="1:26" s="180" customFormat="1" ht="24.95" hidden="1" customHeight="1">
      <c r="A96" s="69"/>
      <c r="B96" s="70"/>
      <c r="C96" s="22"/>
      <c r="D96" s="36" t="s">
        <v>229</v>
      </c>
      <c r="E96" s="23"/>
      <c r="F96" s="41"/>
      <c r="G96" s="26"/>
      <c r="H96" s="98"/>
      <c r="I96" s="23">
        <v>2000</v>
      </c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61"/>
      <c r="X96" s="56"/>
      <c r="Z96" s="182"/>
    </row>
    <row r="97" spans="1:26" s="180" customFormat="1" ht="24.95" hidden="1" customHeight="1">
      <c r="A97" s="69"/>
      <c r="B97" s="70"/>
      <c r="C97" s="36"/>
      <c r="D97" s="36" t="s">
        <v>230</v>
      </c>
      <c r="E97" s="36"/>
      <c r="F97" s="36"/>
      <c r="G97" s="71"/>
      <c r="H97" s="199"/>
      <c r="I97" s="23">
        <v>5000</v>
      </c>
      <c r="J97" s="36"/>
      <c r="K97" s="36"/>
      <c r="L97" s="36"/>
      <c r="M97" s="36"/>
      <c r="N97" s="79"/>
      <c r="O97" s="79"/>
      <c r="P97" s="79"/>
      <c r="Q97" s="79"/>
      <c r="R97" s="79"/>
      <c r="S97" s="36"/>
      <c r="T97" s="36"/>
      <c r="U97" s="36"/>
      <c r="V97" s="36"/>
      <c r="W97" s="61"/>
      <c r="X97" s="56"/>
      <c r="Z97" s="182"/>
    </row>
    <row r="98" spans="1:26" s="180" customFormat="1" ht="24.95" hidden="1" customHeight="1">
      <c r="A98" s="29"/>
      <c r="B98" s="40"/>
      <c r="C98" s="36"/>
      <c r="D98" s="36" t="s">
        <v>231</v>
      </c>
      <c r="E98" s="36"/>
      <c r="F98" s="36"/>
      <c r="G98" s="71"/>
      <c r="H98" s="199"/>
      <c r="I98" s="23">
        <v>1000</v>
      </c>
      <c r="J98" s="36"/>
      <c r="K98" s="36"/>
      <c r="L98" s="36"/>
      <c r="M98" s="36"/>
      <c r="N98" s="79"/>
      <c r="O98" s="79"/>
      <c r="P98" s="79"/>
      <c r="Q98" s="79"/>
      <c r="R98" s="79"/>
      <c r="S98" s="36"/>
      <c r="T98" s="36"/>
      <c r="U98" s="36"/>
      <c r="V98" s="36"/>
      <c r="W98" s="55"/>
      <c r="X98" s="56"/>
      <c r="Z98" s="182"/>
    </row>
    <row r="99" spans="1:26" s="180" customFormat="1" ht="24.95" hidden="1" customHeight="1">
      <c r="A99" s="29"/>
      <c r="B99" s="40"/>
      <c r="C99" s="36"/>
      <c r="D99" s="36" t="s">
        <v>232</v>
      </c>
      <c r="E99" s="36"/>
      <c r="F99" s="36"/>
      <c r="G99" s="71"/>
      <c r="H99" s="199"/>
      <c r="I99" s="23">
        <v>20000</v>
      </c>
      <c r="J99" s="36"/>
      <c r="K99" s="36"/>
      <c r="L99" s="36"/>
      <c r="M99" s="36"/>
      <c r="N99" s="79"/>
      <c r="O99" s="79"/>
      <c r="P99" s="79"/>
      <c r="Q99" s="79"/>
      <c r="R99" s="79"/>
      <c r="S99" s="36"/>
      <c r="T99" s="36"/>
      <c r="U99" s="36"/>
      <c r="V99" s="36"/>
      <c r="W99" s="55"/>
      <c r="X99" s="56"/>
      <c r="Z99" s="182"/>
    </row>
    <row r="100" spans="1:26" ht="24.95" customHeight="1">
      <c r="A100" s="244" t="s">
        <v>233</v>
      </c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  <c r="W100" s="251"/>
      <c r="X100" s="183"/>
    </row>
    <row r="101" spans="1:26" s="180" customFormat="1" ht="24.95" customHeight="1">
      <c r="A101" s="15" t="s">
        <v>234</v>
      </c>
      <c r="B101" s="35" t="s">
        <v>0</v>
      </c>
      <c r="C101" s="10" t="s">
        <v>235</v>
      </c>
      <c r="D101" s="17" t="s">
        <v>236</v>
      </c>
      <c r="E101" s="19">
        <f>E103</f>
        <v>1000000</v>
      </c>
      <c r="F101" s="39">
        <f t="shared" ref="F101:F103" si="17">H101/E101</f>
        <v>1.0156229999999999</v>
      </c>
      <c r="G101" s="37">
        <f>G103</f>
        <v>316</v>
      </c>
      <c r="H101" s="97">
        <f>I101+J101</f>
        <v>1015623</v>
      </c>
      <c r="I101" s="19">
        <f>I103</f>
        <v>815000</v>
      </c>
      <c r="J101" s="19">
        <f>K101+L101</f>
        <v>200623</v>
      </c>
      <c r="K101" s="19">
        <f>SUM(K103)</f>
        <v>0</v>
      </c>
      <c r="L101" s="19">
        <f>SUM(L103)</f>
        <v>200623</v>
      </c>
      <c r="M101" s="19">
        <f t="shared" ref="M101:R101" si="18">SUM(M103)</f>
        <v>11666.63</v>
      </c>
      <c r="N101" s="19">
        <f t="shared" si="18"/>
        <v>9333.31</v>
      </c>
      <c r="O101" s="186">
        <f t="shared" si="18"/>
        <v>9340</v>
      </c>
      <c r="P101" s="19">
        <f t="shared" si="18"/>
        <v>2333.3200000000002</v>
      </c>
      <c r="Q101" s="186">
        <f t="shared" si="18"/>
        <v>2332</v>
      </c>
      <c r="R101" s="19">
        <f t="shared" si="18"/>
        <v>0</v>
      </c>
      <c r="S101" s="84">
        <f>SUM(S103)</f>
        <v>1006600</v>
      </c>
      <c r="T101" s="19">
        <f t="shared" ref="T101:V101" si="19">SUM(T103)</f>
        <v>4012.46</v>
      </c>
      <c r="U101" s="19">
        <f t="shared" si="19"/>
        <v>4000</v>
      </c>
      <c r="V101" s="85">
        <f t="shared" si="19"/>
        <v>8000</v>
      </c>
      <c r="W101" s="52">
        <f>H101-R101-S101-U101</f>
        <v>5023</v>
      </c>
      <c r="X101" s="58"/>
      <c r="Z101" s="182"/>
    </row>
    <row r="102" spans="1:26" s="180" customFormat="1" ht="24.95" customHeight="1">
      <c r="A102" s="29" t="s">
        <v>237</v>
      </c>
      <c r="B102" s="35"/>
      <c r="C102" s="22" t="s">
        <v>238</v>
      </c>
      <c r="D102" s="36" t="s">
        <v>239</v>
      </c>
      <c r="E102" s="17" t="s">
        <v>1</v>
      </c>
      <c r="F102" s="17" t="s">
        <v>1</v>
      </c>
      <c r="G102" s="17" t="s">
        <v>1</v>
      </c>
      <c r="H102" s="144" t="s">
        <v>1</v>
      </c>
      <c r="I102" s="17" t="s">
        <v>1</v>
      </c>
      <c r="J102" s="17" t="s">
        <v>1</v>
      </c>
      <c r="K102" s="17" t="s">
        <v>1</v>
      </c>
      <c r="L102" s="17" t="s">
        <v>1</v>
      </c>
      <c r="M102" s="17" t="s">
        <v>1</v>
      </c>
      <c r="N102" s="17" t="s">
        <v>1</v>
      </c>
      <c r="O102" s="17" t="s">
        <v>1</v>
      </c>
      <c r="P102" s="17" t="s">
        <v>1</v>
      </c>
      <c r="Q102" s="17"/>
      <c r="R102" s="17"/>
      <c r="S102" s="86" t="s">
        <v>1</v>
      </c>
      <c r="T102" s="17" t="s">
        <v>1</v>
      </c>
      <c r="U102" s="17" t="s">
        <v>1</v>
      </c>
      <c r="V102" s="87" t="s">
        <v>1</v>
      </c>
      <c r="W102" s="67" t="s">
        <v>1</v>
      </c>
      <c r="X102" s="88" t="s">
        <v>1</v>
      </c>
      <c r="Z102" s="182"/>
    </row>
    <row r="103" spans="1:26" s="180" customFormat="1" ht="24.95" customHeight="1">
      <c r="A103" s="29" t="s">
        <v>240</v>
      </c>
      <c r="B103" s="35"/>
      <c r="C103" s="22" t="s">
        <v>241</v>
      </c>
      <c r="D103" s="36" t="s">
        <v>242</v>
      </c>
      <c r="E103" s="23">
        <v>1000000</v>
      </c>
      <c r="F103" s="41">
        <f t="shared" si="17"/>
        <v>1.0156229999999999</v>
      </c>
      <c r="G103" s="37">
        <v>316</v>
      </c>
      <c r="H103" s="98">
        <f>I103+J103</f>
        <v>1015623</v>
      </c>
      <c r="I103" s="23">
        <f>SUM(I104:I110)</f>
        <v>815000</v>
      </c>
      <c r="J103" s="23">
        <f>K103+L103</f>
        <v>200623</v>
      </c>
      <c r="K103" s="80">
        <v>0</v>
      </c>
      <c r="L103" s="80">
        <v>200623</v>
      </c>
      <c r="M103" s="23">
        <f>N103+P103</f>
        <v>11666.63</v>
      </c>
      <c r="N103" s="45">
        <v>9333.31</v>
      </c>
      <c r="O103" s="45">
        <v>9340</v>
      </c>
      <c r="P103" s="45">
        <v>2333.3200000000002</v>
      </c>
      <c r="Q103" s="198">
        <v>2332</v>
      </c>
      <c r="R103" s="82">
        <v>0</v>
      </c>
      <c r="S103" s="89">
        <v>1006600</v>
      </c>
      <c r="T103" s="23">
        <f>J103/5000*100</f>
        <v>4012.46</v>
      </c>
      <c r="U103" s="169">
        <v>4000</v>
      </c>
      <c r="V103" s="90">
        <f t="shared" ref="V103" si="20">U103*2</f>
        <v>8000</v>
      </c>
      <c r="W103" s="55">
        <f>H103-R103-S103-U103</f>
        <v>5023</v>
      </c>
      <c r="X103" s="58"/>
      <c r="Z103" s="182"/>
    </row>
    <row r="104" spans="1:26" s="180" customFormat="1" ht="24.95" hidden="1" customHeight="1">
      <c r="A104" s="69"/>
      <c r="B104" s="72"/>
      <c r="C104" s="36"/>
      <c r="D104" s="36" t="s">
        <v>243</v>
      </c>
      <c r="E104" s="23"/>
      <c r="F104" s="23"/>
      <c r="G104" s="34"/>
      <c r="H104" s="98"/>
      <c r="I104" s="23">
        <v>200000</v>
      </c>
      <c r="J104" s="23"/>
      <c r="K104" s="23"/>
      <c r="L104" s="23"/>
      <c r="M104" s="23"/>
      <c r="N104" s="23"/>
      <c r="O104" s="23"/>
      <c r="P104" s="23"/>
      <c r="Q104" s="75"/>
      <c r="R104" s="75"/>
      <c r="S104" s="89"/>
      <c r="T104" s="23"/>
      <c r="U104" s="91"/>
      <c r="V104" s="92"/>
      <c r="W104" s="55"/>
      <c r="X104" s="58"/>
      <c r="Z104" s="182"/>
    </row>
    <row r="105" spans="1:26" s="180" customFormat="1" ht="24.95" hidden="1" customHeight="1">
      <c r="A105" s="170"/>
      <c r="B105" s="73"/>
      <c r="C105" s="171"/>
      <c r="D105" s="171" t="s">
        <v>244</v>
      </c>
      <c r="E105" s="172"/>
      <c r="F105" s="172"/>
      <c r="G105" s="173"/>
      <c r="H105" s="128"/>
      <c r="I105" s="172">
        <v>10000</v>
      </c>
      <c r="J105" s="172"/>
      <c r="K105" s="172"/>
      <c r="L105" s="172"/>
      <c r="M105" s="172"/>
      <c r="N105" s="172"/>
      <c r="O105" s="172"/>
      <c r="P105" s="172"/>
      <c r="Q105" s="172"/>
      <c r="R105" s="172"/>
      <c r="S105" s="174"/>
      <c r="T105" s="172"/>
      <c r="U105" s="93"/>
      <c r="V105" s="94"/>
      <c r="W105" s="55"/>
      <c r="X105" s="95"/>
      <c r="Z105" s="182"/>
    </row>
    <row r="106" spans="1:26" s="180" customFormat="1" ht="24.95" hidden="1" customHeight="1">
      <c r="A106" s="170"/>
      <c r="B106" s="73"/>
      <c r="C106" s="171"/>
      <c r="D106" s="200" t="s">
        <v>21</v>
      </c>
      <c r="E106" s="172"/>
      <c r="F106" s="172"/>
      <c r="G106" s="173"/>
      <c r="H106" s="128"/>
      <c r="I106" s="201">
        <v>100000</v>
      </c>
      <c r="J106" s="172"/>
      <c r="K106" s="172"/>
      <c r="L106" s="172"/>
      <c r="M106" s="172"/>
      <c r="N106" s="172"/>
      <c r="O106" s="172"/>
      <c r="P106" s="172"/>
      <c r="Q106" s="172"/>
      <c r="R106" s="172"/>
      <c r="S106" s="174"/>
      <c r="T106" s="172"/>
      <c r="U106" s="93"/>
      <c r="V106" s="94"/>
      <c r="W106" s="55"/>
      <c r="X106" s="96"/>
      <c r="Z106" s="182"/>
    </row>
    <row r="107" spans="1:26" s="180" customFormat="1" ht="24.95" hidden="1" customHeight="1">
      <c r="A107" s="170"/>
      <c r="B107" s="73"/>
      <c r="C107" s="171"/>
      <c r="D107" s="200" t="s">
        <v>22</v>
      </c>
      <c r="E107" s="172"/>
      <c r="F107" s="172"/>
      <c r="G107" s="173"/>
      <c r="H107" s="128"/>
      <c r="I107" s="201">
        <v>300000</v>
      </c>
      <c r="J107" s="172"/>
      <c r="K107" s="172"/>
      <c r="L107" s="172"/>
      <c r="M107" s="172"/>
      <c r="N107" s="172"/>
      <c r="O107" s="172"/>
      <c r="P107" s="172"/>
      <c r="Q107" s="172"/>
      <c r="R107" s="172"/>
      <c r="S107" s="174"/>
      <c r="T107" s="172"/>
      <c r="U107" s="93"/>
      <c r="V107" s="94"/>
      <c r="W107" s="55"/>
      <c r="X107" s="96"/>
      <c r="Z107" s="182"/>
    </row>
    <row r="108" spans="1:26" s="180" customFormat="1" ht="24.95" hidden="1" customHeight="1">
      <c r="A108" s="170"/>
      <c r="B108" s="73"/>
      <c r="C108" s="171"/>
      <c r="D108" s="200" t="s">
        <v>23</v>
      </c>
      <c r="E108" s="172"/>
      <c r="F108" s="172"/>
      <c r="G108" s="173"/>
      <c r="H108" s="128"/>
      <c r="I108" s="201">
        <v>100000</v>
      </c>
      <c r="J108" s="172"/>
      <c r="K108" s="172"/>
      <c r="L108" s="172"/>
      <c r="M108" s="172"/>
      <c r="N108" s="172"/>
      <c r="O108" s="172"/>
      <c r="P108" s="172"/>
      <c r="Q108" s="172"/>
      <c r="R108" s="172"/>
      <c r="S108" s="174"/>
      <c r="T108" s="172"/>
      <c r="U108" s="93"/>
      <c r="V108" s="94"/>
      <c r="W108" s="55"/>
      <c r="X108" s="96"/>
      <c r="Z108" s="182"/>
    </row>
    <row r="109" spans="1:26" s="180" customFormat="1" ht="24.95" hidden="1" customHeight="1">
      <c r="A109" s="170"/>
      <c r="B109" s="73"/>
      <c r="C109" s="171"/>
      <c r="D109" s="200" t="s">
        <v>24</v>
      </c>
      <c r="E109" s="172"/>
      <c r="F109" s="172"/>
      <c r="G109" s="173"/>
      <c r="H109" s="128"/>
      <c r="I109" s="201">
        <v>5000</v>
      </c>
      <c r="J109" s="172"/>
      <c r="K109" s="172"/>
      <c r="L109" s="172"/>
      <c r="M109" s="172"/>
      <c r="N109" s="172"/>
      <c r="O109" s="172"/>
      <c r="P109" s="172"/>
      <c r="Q109" s="172"/>
      <c r="R109" s="172"/>
      <c r="S109" s="174"/>
      <c r="T109" s="172"/>
      <c r="U109" s="93"/>
      <c r="V109" s="94"/>
      <c r="W109" s="55"/>
      <c r="X109" s="96"/>
      <c r="Z109" s="182"/>
    </row>
    <row r="110" spans="1:26" s="180" customFormat="1" ht="24.95" hidden="1" customHeight="1">
      <c r="A110" s="170"/>
      <c r="B110" s="73"/>
      <c r="C110" s="171"/>
      <c r="D110" s="200" t="s">
        <v>25</v>
      </c>
      <c r="E110" s="172"/>
      <c r="F110" s="172"/>
      <c r="G110" s="173"/>
      <c r="H110" s="128"/>
      <c r="I110" s="201">
        <v>100000</v>
      </c>
      <c r="J110" s="172"/>
      <c r="K110" s="172"/>
      <c r="L110" s="172"/>
      <c r="M110" s="172"/>
      <c r="N110" s="172"/>
      <c r="O110" s="172"/>
      <c r="P110" s="172"/>
      <c r="Q110" s="172"/>
      <c r="R110" s="172"/>
      <c r="S110" s="174"/>
      <c r="T110" s="172"/>
      <c r="U110" s="93"/>
      <c r="V110" s="94"/>
      <c r="W110" s="55"/>
      <c r="X110" s="96"/>
      <c r="Z110" s="182"/>
    </row>
    <row r="111" spans="1:26" s="180" customFormat="1" ht="24.95" customHeight="1">
      <c r="A111" s="29" t="s">
        <v>245</v>
      </c>
      <c r="B111" s="73"/>
      <c r="C111" s="171" t="s">
        <v>246</v>
      </c>
      <c r="D111" s="17" t="s">
        <v>1</v>
      </c>
      <c r="E111" s="17" t="s">
        <v>1</v>
      </c>
      <c r="F111" s="17" t="s">
        <v>1</v>
      </c>
      <c r="G111" s="17" t="s">
        <v>1</v>
      </c>
      <c r="H111" s="144" t="s">
        <v>1</v>
      </c>
      <c r="I111" s="17" t="s">
        <v>1</v>
      </c>
      <c r="J111" s="17" t="s">
        <v>1</v>
      </c>
      <c r="K111" s="17" t="s">
        <v>1</v>
      </c>
      <c r="L111" s="17" t="s">
        <v>1</v>
      </c>
      <c r="M111" s="17" t="s">
        <v>1</v>
      </c>
      <c r="N111" s="17" t="s">
        <v>1</v>
      </c>
      <c r="O111" s="17"/>
      <c r="P111" s="17" t="s">
        <v>1</v>
      </c>
      <c r="Q111" s="17"/>
      <c r="R111" s="17" t="s">
        <v>1</v>
      </c>
      <c r="S111" s="86" t="s">
        <v>1</v>
      </c>
      <c r="T111" s="17" t="s">
        <v>1</v>
      </c>
      <c r="U111" s="17" t="s">
        <v>1</v>
      </c>
      <c r="V111" s="87" t="s">
        <v>1</v>
      </c>
      <c r="W111" s="67" t="s">
        <v>1</v>
      </c>
      <c r="X111" s="96"/>
      <c r="Z111" s="182"/>
    </row>
    <row r="112" spans="1:26" s="180" customFormat="1" ht="24.95" customHeight="1">
      <c r="A112" s="29" t="s">
        <v>247</v>
      </c>
      <c r="B112" s="35"/>
      <c r="C112" s="36" t="s">
        <v>248</v>
      </c>
      <c r="D112" s="17" t="s">
        <v>1</v>
      </c>
      <c r="E112" s="17" t="s">
        <v>1</v>
      </c>
      <c r="F112" s="17" t="s">
        <v>1</v>
      </c>
      <c r="G112" s="17" t="s">
        <v>1</v>
      </c>
      <c r="H112" s="144" t="s">
        <v>1</v>
      </c>
      <c r="I112" s="17" t="s">
        <v>1</v>
      </c>
      <c r="J112" s="17" t="s">
        <v>1</v>
      </c>
      <c r="K112" s="17" t="s">
        <v>1</v>
      </c>
      <c r="L112" s="17" t="s">
        <v>1</v>
      </c>
      <c r="M112" s="17" t="s">
        <v>1</v>
      </c>
      <c r="N112" s="17" t="s">
        <v>1</v>
      </c>
      <c r="O112" s="17"/>
      <c r="P112" s="17" t="s">
        <v>1</v>
      </c>
      <c r="Q112" s="17"/>
      <c r="R112" s="17" t="s">
        <v>1</v>
      </c>
      <c r="S112" s="86" t="s">
        <v>1</v>
      </c>
      <c r="T112" s="17" t="s">
        <v>1</v>
      </c>
      <c r="U112" s="17" t="s">
        <v>1</v>
      </c>
      <c r="V112" s="87" t="s">
        <v>1</v>
      </c>
      <c r="W112" s="67" t="s">
        <v>1</v>
      </c>
      <c r="X112" s="96"/>
      <c r="Z112" s="182"/>
    </row>
    <row r="113" spans="1:27" ht="24.95" customHeight="1">
      <c r="A113" s="252" t="s">
        <v>249</v>
      </c>
      <c r="B113" s="253"/>
      <c r="C113" s="253"/>
      <c r="D113" s="253"/>
      <c r="E113" s="253"/>
      <c r="F113" s="253"/>
      <c r="G113" s="253"/>
      <c r="H113" s="253"/>
      <c r="I113" s="253"/>
      <c r="J113" s="253"/>
      <c r="K113" s="253"/>
      <c r="L113" s="253"/>
      <c r="M113" s="253"/>
      <c r="N113" s="253"/>
      <c r="O113" s="253"/>
      <c r="P113" s="253"/>
      <c r="Q113" s="253"/>
      <c r="R113" s="253"/>
      <c r="S113" s="253"/>
      <c r="T113" s="253"/>
      <c r="U113" s="253"/>
      <c r="V113" s="253"/>
      <c r="W113" s="254"/>
      <c r="X113" s="190"/>
    </row>
    <row r="114" spans="1:27" s="180" customFormat="1" ht="24.95" customHeight="1">
      <c r="A114" s="15" t="s">
        <v>250</v>
      </c>
      <c r="B114" s="35" t="s">
        <v>0</v>
      </c>
      <c r="C114" s="10" t="s">
        <v>251</v>
      </c>
      <c r="D114" s="74" t="s">
        <v>252</v>
      </c>
      <c r="E114" s="27">
        <v>4790000</v>
      </c>
      <c r="F114" s="39">
        <f t="shared" ref="F114:F158" si="21">H114/E114</f>
        <v>0.35695256784968687</v>
      </c>
      <c r="G114" s="18">
        <f>G115+G116+G120+G121+G122+G123+G124+G126+G139+G150+G149+G152+G153+G154+G158</f>
        <v>5169</v>
      </c>
      <c r="H114" s="97">
        <f>I114+J114</f>
        <v>1709802.8</v>
      </c>
      <c r="I114" s="19">
        <f>I115+I116+I120+I121+I122+I123+I124+I126+I139+I149+I150+I152+I153+I154+I158</f>
        <v>1101500</v>
      </c>
      <c r="J114" s="19">
        <f>K114+L114</f>
        <v>608302.80000000005</v>
      </c>
      <c r="K114" s="19">
        <v>0</v>
      </c>
      <c r="L114" s="19">
        <f>SUM(L115:L158)</f>
        <v>608302.80000000005</v>
      </c>
      <c r="M114" s="19">
        <f>SUM(M115:M158)</f>
        <v>43883.27</v>
      </c>
      <c r="N114" s="19">
        <f t="shared" ref="N114:R114" si="22">SUM(N115:N158)</f>
        <v>35106.660000000003</v>
      </c>
      <c r="O114" s="186">
        <f t="shared" si="22"/>
        <v>35110</v>
      </c>
      <c r="P114" s="19">
        <f t="shared" si="22"/>
        <v>8776.6100000000024</v>
      </c>
      <c r="Q114" s="186">
        <f t="shared" si="22"/>
        <v>8779</v>
      </c>
      <c r="R114" s="19">
        <f t="shared" si="22"/>
        <v>0</v>
      </c>
      <c r="S114" s="97">
        <f>S115+S116+S120+S121+S122+S123+S124+S126+S139+S149+S150+S152+S153+S154+S158</f>
        <v>1698100</v>
      </c>
      <c r="T114" s="19">
        <f>T115+T116+T120+T121+T122+T123+T124+T126+T139+T149+T150+T152+T153+T154+T158</f>
        <v>12166.055999999999</v>
      </c>
      <c r="U114" s="19">
        <f>U115+U116+U120+U121+U122+U123+U124+U126+U139+U149+U150+U152+U153+U154+U158</f>
        <v>11700</v>
      </c>
      <c r="V114" s="97">
        <f>V115+V116+V120+V121+V122+V123+V124+V126+V139+V149+V150+V152+V153+V154+V158</f>
        <v>23400</v>
      </c>
      <c r="W114" s="52">
        <f>H114-R114-S114-U114</f>
        <v>2.8000000000465661</v>
      </c>
      <c r="X114" s="88" t="s">
        <v>1</v>
      </c>
      <c r="Z114" s="59"/>
    </row>
    <row r="115" spans="1:27" s="180" customFormat="1" ht="24.95" customHeight="1">
      <c r="A115" s="29" t="s">
        <v>253</v>
      </c>
      <c r="B115" s="35"/>
      <c r="C115" s="22" t="s">
        <v>254</v>
      </c>
      <c r="D115" s="22" t="s">
        <v>255</v>
      </c>
      <c r="E115" s="23">
        <v>170000</v>
      </c>
      <c r="F115" s="41">
        <f t="shared" si="21"/>
        <v>0.16347952941176472</v>
      </c>
      <c r="G115" s="37" t="s">
        <v>256</v>
      </c>
      <c r="H115" s="98">
        <f>I115+J115</f>
        <v>27791.52</v>
      </c>
      <c r="I115" s="23">
        <v>0</v>
      </c>
      <c r="J115" s="23">
        <f>K115+L115</f>
        <v>27791.52</v>
      </c>
      <c r="K115" s="23">
        <v>0</v>
      </c>
      <c r="L115" s="23">
        <v>27791.52</v>
      </c>
      <c r="M115" s="23">
        <f>N115+P115</f>
        <v>2282.98</v>
      </c>
      <c r="N115" s="45">
        <f>1804.46+21.93</f>
        <v>1826.39</v>
      </c>
      <c r="O115" s="187">
        <v>1830</v>
      </c>
      <c r="P115" s="45">
        <f>451.11+5.48</f>
        <v>456.59000000000003</v>
      </c>
      <c r="Q115" s="198">
        <v>457</v>
      </c>
      <c r="R115" s="82">
        <v>0</v>
      </c>
      <c r="S115" s="98">
        <v>27300</v>
      </c>
      <c r="T115" s="23">
        <f>J115/5000*100</f>
        <v>555.83039999999994</v>
      </c>
      <c r="U115" s="169">
        <v>500</v>
      </c>
      <c r="V115" s="99">
        <f t="shared" ref="V115:V116" si="23">U115*2</f>
        <v>1000</v>
      </c>
      <c r="W115" s="55">
        <f>H115-S115-U115</f>
        <v>-8.4799999999995634</v>
      </c>
      <c r="X115" s="100"/>
      <c r="Z115" s="182"/>
      <c r="AA115" s="182"/>
    </row>
    <row r="116" spans="1:27" s="180" customFormat="1" ht="24.95" customHeight="1">
      <c r="A116" s="29" t="s">
        <v>26</v>
      </c>
      <c r="B116" s="35"/>
      <c r="C116" s="22" t="s">
        <v>257</v>
      </c>
      <c r="D116" s="22" t="s">
        <v>258</v>
      </c>
      <c r="E116" s="23">
        <v>1120000</v>
      </c>
      <c r="F116" s="41">
        <f t="shared" si="21"/>
        <v>7.7621312499999998E-2</v>
      </c>
      <c r="G116" s="37">
        <v>334</v>
      </c>
      <c r="H116" s="98">
        <f t="shared" ref="H116:H126" si="24">I116+J116</f>
        <v>86935.87</v>
      </c>
      <c r="I116" s="23">
        <f>I117+I118+I119</f>
        <v>85500</v>
      </c>
      <c r="J116" s="23">
        <f t="shared" ref="J116:J126" si="25">K116+L116</f>
        <v>1435.87</v>
      </c>
      <c r="K116" s="23">
        <v>0</v>
      </c>
      <c r="L116" s="23">
        <v>1435.87</v>
      </c>
      <c r="M116" s="23">
        <f>N116+P116</f>
        <v>24.01</v>
      </c>
      <c r="N116" s="45">
        <v>19.21</v>
      </c>
      <c r="O116" s="187">
        <v>0</v>
      </c>
      <c r="P116" s="45">
        <v>4.8</v>
      </c>
      <c r="Q116" s="191">
        <v>5</v>
      </c>
      <c r="R116" s="83">
        <v>0</v>
      </c>
      <c r="S116" s="98">
        <v>86900</v>
      </c>
      <c r="T116" s="23">
        <f>J116/5000*100</f>
        <v>28.717399999999998</v>
      </c>
      <c r="U116" s="169">
        <v>0</v>
      </c>
      <c r="V116" s="99">
        <f t="shared" si="23"/>
        <v>0</v>
      </c>
      <c r="W116" s="55">
        <f>H116-S116-U116</f>
        <v>35.869999999995343</v>
      </c>
      <c r="X116" s="100"/>
      <c r="Z116" s="182"/>
    </row>
    <row r="117" spans="1:27" s="180" customFormat="1" ht="24.95" hidden="1" customHeight="1">
      <c r="A117" s="29"/>
      <c r="B117" s="35"/>
      <c r="C117" s="22"/>
      <c r="D117" s="22" t="s">
        <v>259</v>
      </c>
      <c r="E117" s="23"/>
      <c r="F117" s="41"/>
      <c r="G117" s="37"/>
      <c r="H117" s="98"/>
      <c r="I117" s="23">
        <v>500</v>
      </c>
      <c r="J117" s="23"/>
      <c r="K117" s="23"/>
      <c r="L117" s="23"/>
      <c r="M117" s="23"/>
      <c r="N117" s="45"/>
      <c r="O117" s="187"/>
      <c r="P117" s="45"/>
      <c r="Q117" s="191"/>
      <c r="R117" s="83"/>
      <c r="S117" s="98"/>
      <c r="T117" s="23"/>
      <c r="U117" s="169"/>
      <c r="V117" s="99"/>
      <c r="W117" s="55"/>
      <c r="X117" s="100"/>
      <c r="Z117" s="182"/>
    </row>
    <row r="118" spans="1:27" s="180" customFormat="1" ht="24.95" hidden="1" customHeight="1">
      <c r="A118" s="29"/>
      <c r="B118" s="21"/>
      <c r="C118" s="22"/>
      <c r="D118" s="22" t="s">
        <v>260</v>
      </c>
      <c r="E118" s="23"/>
      <c r="F118" s="41"/>
      <c r="G118" s="37"/>
      <c r="H118" s="98"/>
      <c r="I118" s="23">
        <v>80000</v>
      </c>
      <c r="J118" s="23"/>
      <c r="K118" s="23"/>
      <c r="L118" s="23"/>
      <c r="M118" s="23"/>
      <c r="N118" s="45"/>
      <c r="O118" s="187"/>
      <c r="P118" s="45"/>
      <c r="Q118" s="191"/>
      <c r="R118" s="83"/>
      <c r="S118" s="98"/>
      <c r="T118" s="23"/>
      <c r="U118" s="169"/>
      <c r="V118" s="99"/>
      <c r="W118" s="55"/>
      <c r="X118" s="56"/>
      <c r="Z118" s="182"/>
    </row>
    <row r="119" spans="1:27" s="180" customFormat="1" ht="24.95" hidden="1" customHeight="1">
      <c r="A119" s="29"/>
      <c r="B119" s="21"/>
      <c r="C119" s="22"/>
      <c r="D119" s="22" t="s">
        <v>261</v>
      </c>
      <c r="E119" s="23"/>
      <c r="F119" s="41"/>
      <c r="G119" s="37"/>
      <c r="H119" s="98"/>
      <c r="I119" s="23">
        <v>5000</v>
      </c>
      <c r="J119" s="23"/>
      <c r="K119" s="23"/>
      <c r="L119" s="23"/>
      <c r="M119" s="23"/>
      <c r="N119" s="45"/>
      <c r="O119" s="187"/>
      <c r="P119" s="45"/>
      <c r="Q119" s="191"/>
      <c r="R119" s="83"/>
      <c r="S119" s="98"/>
      <c r="T119" s="23"/>
      <c r="U119" s="169"/>
      <c r="V119" s="99"/>
      <c r="W119" s="55"/>
      <c r="X119" s="101"/>
      <c r="Z119" s="182"/>
    </row>
    <row r="120" spans="1:27" s="180" customFormat="1" ht="24.95" customHeight="1">
      <c r="A120" s="29" t="s">
        <v>27</v>
      </c>
      <c r="B120" s="35"/>
      <c r="C120" s="22" t="s">
        <v>262</v>
      </c>
      <c r="D120" s="22" t="s">
        <v>263</v>
      </c>
      <c r="E120" s="23">
        <v>200000</v>
      </c>
      <c r="F120" s="41">
        <f t="shared" si="21"/>
        <v>0.1263368</v>
      </c>
      <c r="G120" s="37">
        <v>115</v>
      </c>
      <c r="H120" s="98">
        <f t="shared" si="24"/>
        <v>25267.360000000001</v>
      </c>
      <c r="I120" s="23">
        <v>0</v>
      </c>
      <c r="J120" s="23">
        <f t="shared" si="25"/>
        <v>25267.360000000001</v>
      </c>
      <c r="K120" s="23">
        <v>0</v>
      </c>
      <c r="L120" s="23">
        <v>25267.360000000001</v>
      </c>
      <c r="M120" s="23">
        <f>N120+P120</f>
        <v>474.85</v>
      </c>
      <c r="N120" s="45">
        <v>379.88</v>
      </c>
      <c r="O120" s="187">
        <v>380</v>
      </c>
      <c r="P120" s="45">
        <v>94.97</v>
      </c>
      <c r="Q120" s="191">
        <v>95</v>
      </c>
      <c r="R120" s="83">
        <v>0</v>
      </c>
      <c r="S120" s="98">
        <v>24800</v>
      </c>
      <c r="T120" s="23">
        <f>J120/5000*100</f>
        <v>505.34720000000004</v>
      </c>
      <c r="U120" s="169">
        <v>500</v>
      </c>
      <c r="V120" s="99">
        <f>U120*2</f>
        <v>1000</v>
      </c>
      <c r="W120" s="55">
        <f>H120-S120-U120</f>
        <v>-32.639999999999418</v>
      </c>
      <c r="X120" s="100"/>
      <c r="Z120" s="182"/>
    </row>
    <row r="121" spans="1:27" s="180" customFormat="1" ht="24.95" customHeight="1">
      <c r="A121" s="29" t="s">
        <v>28</v>
      </c>
      <c r="B121" s="35"/>
      <c r="C121" s="22" t="s">
        <v>264</v>
      </c>
      <c r="D121" s="22" t="s">
        <v>265</v>
      </c>
      <c r="E121" s="23">
        <v>500000</v>
      </c>
      <c r="F121" s="41">
        <f t="shared" si="21"/>
        <v>2.2540040000000001E-2</v>
      </c>
      <c r="G121" s="37">
        <v>339</v>
      </c>
      <c r="H121" s="98">
        <f t="shared" si="24"/>
        <v>11270.02</v>
      </c>
      <c r="I121" s="23">
        <v>0</v>
      </c>
      <c r="J121" s="23">
        <f t="shared" si="25"/>
        <v>11270.02</v>
      </c>
      <c r="K121" s="23">
        <v>0</v>
      </c>
      <c r="L121" s="23">
        <v>11270.02</v>
      </c>
      <c r="M121" s="23">
        <f>N121+P121</f>
        <v>874.81999999999994</v>
      </c>
      <c r="N121" s="45">
        <f>668.57+31.29</f>
        <v>699.86</v>
      </c>
      <c r="O121" s="187">
        <v>700</v>
      </c>
      <c r="P121" s="45">
        <f>167.14+7.82</f>
        <v>174.95999999999998</v>
      </c>
      <c r="Q121" s="191">
        <v>175</v>
      </c>
      <c r="R121" s="83">
        <v>0</v>
      </c>
      <c r="S121" s="98">
        <v>11100</v>
      </c>
      <c r="T121" s="23">
        <f>J121/5000*100</f>
        <v>225.40040000000002</v>
      </c>
      <c r="U121" s="169">
        <v>200</v>
      </c>
      <c r="V121" s="99">
        <f t="shared" ref="V121:V124" si="26">U121*2</f>
        <v>400</v>
      </c>
      <c r="W121" s="55">
        <f>H121-S121-U121</f>
        <v>-29.979999999999563</v>
      </c>
      <c r="X121" s="100"/>
      <c r="Z121" s="182"/>
    </row>
    <row r="122" spans="1:27" s="180" customFormat="1" ht="24.95" customHeight="1">
      <c r="A122" s="29" t="s">
        <v>29</v>
      </c>
      <c r="B122" s="35"/>
      <c r="C122" s="22" t="s">
        <v>266</v>
      </c>
      <c r="D122" s="22" t="s">
        <v>30</v>
      </c>
      <c r="E122" s="23">
        <v>120000</v>
      </c>
      <c r="F122" s="41">
        <f t="shared" si="21"/>
        <v>1.0052083333333333E-2</v>
      </c>
      <c r="G122" s="37">
        <v>283</v>
      </c>
      <c r="H122" s="98">
        <f t="shared" si="24"/>
        <v>1206.25</v>
      </c>
      <c r="I122" s="23">
        <v>0</v>
      </c>
      <c r="J122" s="23">
        <f t="shared" si="25"/>
        <v>1206.25</v>
      </c>
      <c r="K122" s="23">
        <v>0</v>
      </c>
      <c r="L122" s="23">
        <v>1206.25</v>
      </c>
      <c r="M122" s="23">
        <f>N122+P122</f>
        <v>311.70000000000005</v>
      </c>
      <c r="N122" s="45">
        <f>245.84+3.52</f>
        <v>249.36</v>
      </c>
      <c r="O122" s="187">
        <v>250</v>
      </c>
      <c r="P122" s="45">
        <f>61.46+0.88</f>
        <v>62.34</v>
      </c>
      <c r="Q122" s="191">
        <v>62</v>
      </c>
      <c r="R122" s="83">
        <v>0</v>
      </c>
      <c r="S122" s="98">
        <v>1200</v>
      </c>
      <c r="T122" s="23">
        <f>J122/5000*100</f>
        <v>24.125</v>
      </c>
      <c r="U122" s="169">
        <v>0</v>
      </c>
      <c r="V122" s="99">
        <f t="shared" si="26"/>
        <v>0</v>
      </c>
      <c r="W122" s="55">
        <f>H122-S122-U122</f>
        <v>6.25</v>
      </c>
      <c r="X122" s="100"/>
      <c r="Z122" s="182"/>
    </row>
    <row r="123" spans="1:27" s="180" customFormat="1" ht="24.95" customHeight="1">
      <c r="A123" s="29" t="s">
        <v>31</v>
      </c>
      <c r="B123" s="21" t="s">
        <v>0</v>
      </c>
      <c r="C123" s="22" t="s">
        <v>267</v>
      </c>
      <c r="D123" s="22" t="s">
        <v>32</v>
      </c>
      <c r="E123" s="23">
        <v>1000000</v>
      </c>
      <c r="F123" s="41">
        <f t="shared" si="21"/>
        <v>0.44102878000000001</v>
      </c>
      <c r="G123" s="37">
        <v>2328</v>
      </c>
      <c r="H123" s="98">
        <f t="shared" si="24"/>
        <v>441028.78</v>
      </c>
      <c r="I123" s="23">
        <v>0</v>
      </c>
      <c r="J123" s="23">
        <f t="shared" si="25"/>
        <v>441028.78</v>
      </c>
      <c r="K123" s="23">
        <v>0</v>
      </c>
      <c r="L123" s="23">
        <v>441028.78</v>
      </c>
      <c r="M123" s="23">
        <f>N123+P123</f>
        <v>31929.25</v>
      </c>
      <c r="N123" s="45">
        <f>25486.6+56.58+0.23</f>
        <v>25543.41</v>
      </c>
      <c r="O123" s="187">
        <v>25550</v>
      </c>
      <c r="P123" s="45">
        <f>6371.65+14.14+0.05</f>
        <v>6385.84</v>
      </c>
      <c r="Q123" s="191">
        <v>6386</v>
      </c>
      <c r="R123" s="83">
        <v>0</v>
      </c>
      <c r="S123" s="98">
        <v>432200</v>
      </c>
      <c r="T123" s="23">
        <f>J123/5000*100</f>
        <v>8820.5756000000001</v>
      </c>
      <c r="U123" s="169">
        <v>8800</v>
      </c>
      <c r="V123" s="99">
        <f t="shared" si="26"/>
        <v>17600</v>
      </c>
      <c r="W123" s="55">
        <f>H123-S123-U123</f>
        <v>28.78000000002794</v>
      </c>
      <c r="X123" s="56"/>
      <c r="Z123" s="182"/>
    </row>
    <row r="124" spans="1:27" s="180" customFormat="1" ht="24.95" customHeight="1">
      <c r="A124" s="29" t="s">
        <v>268</v>
      </c>
      <c r="B124" s="21"/>
      <c r="C124" s="22" t="s">
        <v>269</v>
      </c>
      <c r="D124" s="22" t="s">
        <v>270</v>
      </c>
      <c r="E124" s="23">
        <v>150000</v>
      </c>
      <c r="F124" s="41">
        <f t="shared" si="21"/>
        <v>0.66769206666666669</v>
      </c>
      <c r="G124" s="37">
        <v>11</v>
      </c>
      <c r="H124" s="98">
        <f t="shared" si="24"/>
        <v>100153.81</v>
      </c>
      <c r="I124" s="23">
        <f>SUM(I125:I125)</f>
        <v>100000</v>
      </c>
      <c r="J124" s="23">
        <f t="shared" si="25"/>
        <v>153.81</v>
      </c>
      <c r="K124" s="23">
        <v>0</v>
      </c>
      <c r="L124" s="23">
        <v>153.81</v>
      </c>
      <c r="M124" s="23">
        <f>N124+P124</f>
        <v>25.6</v>
      </c>
      <c r="N124" s="45">
        <v>20.48</v>
      </c>
      <c r="O124" s="187">
        <v>0</v>
      </c>
      <c r="P124" s="45">
        <v>5.12</v>
      </c>
      <c r="Q124" s="191">
        <v>5</v>
      </c>
      <c r="R124" s="83">
        <v>0</v>
      </c>
      <c r="S124" s="98">
        <v>100200</v>
      </c>
      <c r="T124" s="23">
        <f>J124/5000*100</f>
        <v>3.0762</v>
      </c>
      <c r="U124" s="169">
        <v>0</v>
      </c>
      <c r="V124" s="99">
        <f t="shared" si="26"/>
        <v>0</v>
      </c>
      <c r="W124" s="55">
        <f>H124-S124-U124</f>
        <v>-46.190000000002328</v>
      </c>
      <c r="X124" s="56"/>
      <c r="Z124" s="182"/>
    </row>
    <row r="125" spans="1:27" s="180" customFormat="1" ht="24.95" hidden="1" customHeight="1">
      <c r="A125" s="29"/>
      <c r="B125" s="21"/>
      <c r="C125" s="22"/>
      <c r="D125" s="22" t="s">
        <v>271</v>
      </c>
      <c r="E125" s="23"/>
      <c r="F125" s="41"/>
      <c r="G125" s="37"/>
      <c r="H125" s="98"/>
      <c r="I125" s="23">
        <v>100000</v>
      </c>
      <c r="J125" s="23"/>
      <c r="K125" s="23"/>
      <c r="L125" s="23"/>
      <c r="M125" s="23"/>
      <c r="N125" s="45"/>
      <c r="O125" s="187"/>
      <c r="P125" s="45"/>
      <c r="Q125" s="191"/>
      <c r="R125" s="83"/>
      <c r="S125" s="98"/>
      <c r="T125" s="23"/>
      <c r="U125" s="169"/>
      <c r="V125" s="99"/>
      <c r="W125" s="55"/>
      <c r="X125" s="56"/>
      <c r="Z125" s="182"/>
    </row>
    <row r="126" spans="1:27" s="180" customFormat="1" ht="24.95" customHeight="1">
      <c r="A126" s="29" t="s">
        <v>33</v>
      </c>
      <c r="B126" s="21"/>
      <c r="C126" s="22" t="s">
        <v>272</v>
      </c>
      <c r="D126" s="22" t="s">
        <v>273</v>
      </c>
      <c r="E126" s="23">
        <v>500000</v>
      </c>
      <c r="F126" s="41">
        <f t="shared" si="21"/>
        <v>0.83644721999999994</v>
      </c>
      <c r="G126" s="37">
        <v>17</v>
      </c>
      <c r="H126" s="98">
        <f t="shared" si="24"/>
        <v>418223.61</v>
      </c>
      <c r="I126" s="23">
        <f>SUM(I127:I138)</f>
        <v>418000</v>
      </c>
      <c r="J126" s="23">
        <f t="shared" si="25"/>
        <v>223.61</v>
      </c>
      <c r="K126" s="23">
        <v>0</v>
      </c>
      <c r="L126" s="23">
        <v>223.61</v>
      </c>
      <c r="M126" s="23">
        <f>N126+P126</f>
        <v>46.06</v>
      </c>
      <c r="N126" s="45">
        <v>36.85</v>
      </c>
      <c r="O126" s="187">
        <v>100</v>
      </c>
      <c r="P126" s="45">
        <v>9.2100000000000009</v>
      </c>
      <c r="Q126" s="191">
        <v>9</v>
      </c>
      <c r="R126" s="83">
        <v>0</v>
      </c>
      <c r="S126" s="98">
        <v>418200</v>
      </c>
      <c r="T126" s="23">
        <f>J126/5000*100</f>
        <v>4.4722000000000008</v>
      </c>
      <c r="U126" s="169">
        <v>0</v>
      </c>
      <c r="V126" s="99">
        <f t="shared" ref="V126" si="27">U126*2</f>
        <v>0</v>
      </c>
      <c r="W126" s="55">
        <f>H126-S126-U126</f>
        <v>23.60999999998603</v>
      </c>
      <c r="X126" s="56"/>
      <c r="Z126" s="182"/>
    </row>
    <row r="127" spans="1:27" s="180" customFormat="1" ht="24.95" hidden="1" customHeight="1">
      <c r="A127" s="29"/>
      <c r="B127" s="21"/>
      <c r="C127" s="22"/>
      <c r="D127" s="22" t="s">
        <v>274</v>
      </c>
      <c r="E127" s="23"/>
      <c r="F127" s="41" t="e">
        <f t="shared" si="21"/>
        <v>#DIV/0!</v>
      </c>
      <c r="G127" s="37"/>
      <c r="H127" s="98"/>
      <c r="I127" s="23">
        <v>10000</v>
      </c>
      <c r="J127" s="23"/>
      <c r="K127" s="23"/>
      <c r="L127" s="23"/>
      <c r="M127" s="23"/>
      <c r="N127" s="45"/>
      <c r="O127" s="187"/>
      <c r="P127" s="45"/>
      <c r="Q127" s="191"/>
      <c r="R127" s="83"/>
      <c r="S127" s="98"/>
      <c r="T127" s="23"/>
      <c r="U127" s="169"/>
      <c r="V127" s="99"/>
      <c r="W127" s="55"/>
      <c r="X127" s="56"/>
      <c r="Z127" s="182"/>
    </row>
    <row r="128" spans="1:27" s="180" customFormat="1" ht="24.95" hidden="1" customHeight="1">
      <c r="A128" s="29"/>
      <c r="B128" s="21"/>
      <c r="C128" s="22"/>
      <c r="D128" s="22" t="s">
        <v>275</v>
      </c>
      <c r="E128" s="23"/>
      <c r="F128" s="41" t="e">
        <f t="shared" si="21"/>
        <v>#DIV/0!</v>
      </c>
      <c r="G128" s="37"/>
      <c r="H128" s="98"/>
      <c r="I128" s="23">
        <v>10000</v>
      </c>
      <c r="J128" s="23"/>
      <c r="K128" s="23"/>
      <c r="L128" s="23"/>
      <c r="M128" s="23"/>
      <c r="N128" s="45"/>
      <c r="O128" s="187"/>
      <c r="P128" s="45"/>
      <c r="Q128" s="191"/>
      <c r="R128" s="83"/>
      <c r="S128" s="98"/>
      <c r="T128" s="23"/>
      <c r="U128" s="169"/>
      <c r="V128" s="99"/>
      <c r="W128" s="55"/>
      <c r="X128" s="56"/>
      <c r="Z128" s="182"/>
    </row>
    <row r="129" spans="1:26" s="180" customFormat="1" ht="24.95" hidden="1" customHeight="1">
      <c r="A129" s="29"/>
      <c r="B129" s="21"/>
      <c r="C129" s="22"/>
      <c r="D129" s="22" t="s">
        <v>276</v>
      </c>
      <c r="E129" s="23"/>
      <c r="F129" s="41" t="e">
        <f t="shared" si="21"/>
        <v>#DIV/0!</v>
      </c>
      <c r="G129" s="37"/>
      <c r="H129" s="98"/>
      <c r="I129" s="23">
        <v>10000</v>
      </c>
      <c r="J129" s="23"/>
      <c r="K129" s="23"/>
      <c r="L129" s="23"/>
      <c r="M129" s="23"/>
      <c r="N129" s="45"/>
      <c r="O129" s="187"/>
      <c r="P129" s="45"/>
      <c r="Q129" s="191"/>
      <c r="R129" s="83"/>
      <c r="S129" s="98"/>
      <c r="T129" s="23"/>
      <c r="U129" s="169"/>
      <c r="V129" s="99"/>
      <c r="W129" s="55"/>
      <c r="X129" s="56"/>
      <c r="Z129" s="182"/>
    </row>
    <row r="130" spans="1:26" s="180" customFormat="1" ht="24.95" hidden="1" customHeight="1">
      <c r="A130" s="29"/>
      <c r="B130" s="21"/>
      <c r="C130" s="22"/>
      <c r="D130" s="22" t="s">
        <v>277</v>
      </c>
      <c r="E130" s="23"/>
      <c r="F130" s="41" t="e">
        <f t="shared" si="21"/>
        <v>#DIV/0!</v>
      </c>
      <c r="G130" s="37"/>
      <c r="H130" s="98"/>
      <c r="I130" s="23">
        <v>50000</v>
      </c>
      <c r="J130" s="23"/>
      <c r="K130" s="23"/>
      <c r="L130" s="23"/>
      <c r="M130" s="23"/>
      <c r="N130" s="45"/>
      <c r="O130" s="187"/>
      <c r="P130" s="45"/>
      <c r="Q130" s="191"/>
      <c r="R130" s="83"/>
      <c r="S130" s="98"/>
      <c r="T130" s="23"/>
      <c r="U130" s="169"/>
      <c r="V130" s="99"/>
      <c r="W130" s="55"/>
      <c r="X130" s="56"/>
      <c r="Z130" s="182"/>
    </row>
    <row r="131" spans="1:26" s="180" customFormat="1" ht="24.95" hidden="1" customHeight="1">
      <c r="A131" s="29"/>
      <c r="B131" s="21"/>
      <c r="C131" s="22"/>
      <c r="D131" s="22" t="s">
        <v>278</v>
      </c>
      <c r="E131" s="23"/>
      <c r="F131" s="41" t="e">
        <f t="shared" si="21"/>
        <v>#DIV/0!</v>
      </c>
      <c r="G131" s="37"/>
      <c r="H131" s="98"/>
      <c r="I131" s="23">
        <v>50000</v>
      </c>
      <c r="J131" s="23"/>
      <c r="K131" s="23"/>
      <c r="L131" s="23"/>
      <c r="M131" s="23"/>
      <c r="N131" s="45"/>
      <c r="O131" s="187"/>
      <c r="P131" s="45"/>
      <c r="Q131" s="191"/>
      <c r="R131" s="83"/>
      <c r="S131" s="98"/>
      <c r="T131" s="23"/>
      <c r="U131" s="169"/>
      <c r="V131" s="99"/>
      <c r="W131" s="55"/>
      <c r="X131" s="56"/>
      <c r="Z131" s="182"/>
    </row>
    <row r="132" spans="1:26" s="180" customFormat="1" ht="24.95" hidden="1" customHeight="1">
      <c r="A132" s="29"/>
      <c r="B132" s="21"/>
      <c r="C132" s="22"/>
      <c r="D132" s="22" t="s">
        <v>279</v>
      </c>
      <c r="E132" s="23"/>
      <c r="F132" s="41" t="e">
        <f t="shared" si="21"/>
        <v>#DIV/0!</v>
      </c>
      <c r="G132" s="37"/>
      <c r="H132" s="98"/>
      <c r="I132" s="23">
        <v>50000</v>
      </c>
      <c r="J132" s="23"/>
      <c r="K132" s="23"/>
      <c r="L132" s="23"/>
      <c r="M132" s="23"/>
      <c r="N132" s="45"/>
      <c r="O132" s="187"/>
      <c r="P132" s="45"/>
      <c r="Q132" s="191"/>
      <c r="R132" s="83"/>
      <c r="S132" s="98"/>
      <c r="T132" s="23"/>
      <c r="U132" s="169"/>
      <c r="V132" s="99"/>
      <c r="W132" s="55"/>
      <c r="X132" s="56"/>
      <c r="Z132" s="182"/>
    </row>
    <row r="133" spans="1:26" s="180" customFormat="1" ht="24.95" hidden="1" customHeight="1">
      <c r="A133" s="29"/>
      <c r="B133" s="21"/>
      <c r="C133" s="22"/>
      <c r="D133" s="22" t="s">
        <v>280</v>
      </c>
      <c r="E133" s="23"/>
      <c r="F133" s="41" t="e">
        <f t="shared" si="21"/>
        <v>#DIV/0!</v>
      </c>
      <c r="G133" s="37"/>
      <c r="H133" s="98"/>
      <c r="I133" s="23">
        <v>50000</v>
      </c>
      <c r="J133" s="23"/>
      <c r="K133" s="23"/>
      <c r="L133" s="23"/>
      <c r="M133" s="23"/>
      <c r="N133" s="45"/>
      <c r="O133" s="187"/>
      <c r="P133" s="45"/>
      <c r="Q133" s="191"/>
      <c r="R133" s="83"/>
      <c r="S133" s="98"/>
      <c r="T133" s="23"/>
      <c r="U133" s="169"/>
      <c r="V133" s="99"/>
      <c r="W133" s="55"/>
      <c r="X133" s="56"/>
      <c r="Z133" s="182"/>
    </row>
    <row r="134" spans="1:26" s="180" customFormat="1" ht="24.95" hidden="1" customHeight="1">
      <c r="A134" s="29"/>
      <c r="B134" s="21"/>
      <c r="C134" s="22"/>
      <c r="D134" s="22" t="s">
        <v>281</v>
      </c>
      <c r="E134" s="23"/>
      <c r="F134" s="41" t="e">
        <f t="shared" si="21"/>
        <v>#DIV/0!</v>
      </c>
      <c r="G134" s="37"/>
      <c r="H134" s="98"/>
      <c r="I134" s="23">
        <v>50000</v>
      </c>
      <c r="J134" s="23"/>
      <c r="K134" s="23"/>
      <c r="L134" s="23"/>
      <c r="M134" s="23"/>
      <c r="N134" s="45"/>
      <c r="O134" s="187"/>
      <c r="P134" s="45"/>
      <c r="Q134" s="191"/>
      <c r="R134" s="83"/>
      <c r="S134" s="98"/>
      <c r="T134" s="23"/>
      <c r="U134" s="169"/>
      <c r="V134" s="99"/>
      <c r="W134" s="55"/>
      <c r="X134" s="56"/>
      <c r="Z134" s="182"/>
    </row>
    <row r="135" spans="1:26" s="180" customFormat="1" ht="24.95" hidden="1" customHeight="1">
      <c r="A135" s="29"/>
      <c r="B135" s="21"/>
      <c r="C135" s="22"/>
      <c r="D135" s="22" t="s">
        <v>282</v>
      </c>
      <c r="E135" s="23"/>
      <c r="F135" s="41" t="e">
        <f t="shared" si="21"/>
        <v>#DIV/0!</v>
      </c>
      <c r="G135" s="37"/>
      <c r="H135" s="98"/>
      <c r="I135" s="23">
        <v>50000</v>
      </c>
      <c r="J135" s="23"/>
      <c r="K135" s="23"/>
      <c r="L135" s="23"/>
      <c r="M135" s="23"/>
      <c r="N135" s="45"/>
      <c r="O135" s="187"/>
      <c r="P135" s="45"/>
      <c r="Q135" s="191"/>
      <c r="R135" s="83"/>
      <c r="S135" s="98"/>
      <c r="T135" s="23"/>
      <c r="U135" s="169"/>
      <c r="V135" s="99"/>
      <c r="W135" s="55"/>
      <c r="X135" s="56"/>
      <c r="Z135" s="182"/>
    </row>
    <row r="136" spans="1:26" s="180" customFormat="1" ht="24.95" hidden="1" customHeight="1">
      <c r="A136" s="29"/>
      <c r="B136" s="21"/>
      <c r="C136" s="22"/>
      <c r="D136" s="22" t="s">
        <v>283</v>
      </c>
      <c r="E136" s="23"/>
      <c r="F136" s="41" t="e">
        <f t="shared" si="21"/>
        <v>#DIV/0!</v>
      </c>
      <c r="G136" s="37"/>
      <c r="H136" s="98"/>
      <c r="I136" s="23">
        <v>8000</v>
      </c>
      <c r="J136" s="23"/>
      <c r="K136" s="23"/>
      <c r="L136" s="23"/>
      <c r="M136" s="23"/>
      <c r="N136" s="45"/>
      <c r="O136" s="187"/>
      <c r="P136" s="45"/>
      <c r="Q136" s="191"/>
      <c r="R136" s="83"/>
      <c r="S136" s="98"/>
      <c r="T136" s="23"/>
      <c r="U136" s="169"/>
      <c r="V136" s="99"/>
      <c r="W136" s="55"/>
      <c r="X136" s="56"/>
      <c r="Z136" s="182"/>
    </row>
    <row r="137" spans="1:26" s="180" customFormat="1" ht="24.95" hidden="1" customHeight="1">
      <c r="A137" s="29"/>
      <c r="B137" s="21"/>
      <c r="C137" s="22"/>
      <c r="D137" s="22" t="s">
        <v>284</v>
      </c>
      <c r="E137" s="23"/>
      <c r="F137" s="41"/>
      <c r="G137" s="37"/>
      <c r="H137" s="98"/>
      <c r="I137" s="23">
        <v>30000</v>
      </c>
      <c r="J137" s="23"/>
      <c r="K137" s="23"/>
      <c r="L137" s="23"/>
      <c r="M137" s="23"/>
      <c r="N137" s="45"/>
      <c r="O137" s="187"/>
      <c r="P137" s="45"/>
      <c r="Q137" s="191"/>
      <c r="R137" s="83"/>
      <c r="S137" s="98"/>
      <c r="T137" s="23"/>
      <c r="U137" s="169"/>
      <c r="V137" s="99"/>
      <c r="W137" s="55"/>
      <c r="X137" s="56"/>
      <c r="Z137" s="182"/>
    </row>
    <row r="138" spans="1:26" s="180" customFormat="1" ht="24.95" hidden="1" customHeight="1">
      <c r="A138" s="29"/>
      <c r="B138" s="21"/>
      <c r="C138" s="22">
        <v>44868</v>
      </c>
      <c r="D138" s="22" t="s">
        <v>285</v>
      </c>
      <c r="E138" s="23"/>
      <c r="F138" s="41"/>
      <c r="G138" s="37"/>
      <c r="H138" s="98"/>
      <c r="I138" s="23">
        <v>50000</v>
      </c>
      <c r="J138" s="23"/>
      <c r="K138" s="23"/>
      <c r="L138" s="23"/>
      <c r="M138" s="23"/>
      <c r="N138" s="45"/>
      <c r="O138" s="187"/>
      <c r="P138" s="45"/>
      <c r="Q138" s="191"/>
      <c r="R138" s="83"/>
      <c r="S138" s="98"/>
      <c r="T138" s="23"/>
      <c r="U138" s="169"/>
      <c r="V138" s="99"/>
      <c r="W138" s="55"/>
      <c r="X138" s="56"/>
      <c r="Z138" s="182"/>
    </row>
    <row r="139" spans="1:26" s="180" customFormat="1" ht="24.95" customHeight="1">
      <c r="A139" s="29" t="s">
        <v>34</v>
      </c>
      <c r="B139" s="21"/>
      <c r="C139" s="22" t="s">
        <v>286</v>
      </c>
      <c r="D139" s="22" t="s">
        <v>287</v>
      </c>
      <c r="E139" s="23">
        <v>170000</v>
      </c>
      <c r="F139" s="41">
        <f t="shared" si="21"/>
        <v>0.98411864705882346</v>
      </c>
      <c r="G139" s="37">
        <v>507</v>
      </c>
      <c r="H139" s="98">
        <f>I139+J139</f>
        <v>167300.16999999998</v>
      </c>
      <c r="I139" s="23">
        <f>SUM(I140:I148)</f>
        <v>140000</v>
      </c>
      <c r="J139" s="23">
        <f>K139+L139</f>
        <v>27300.17</v>
      </c>
      <c r="K139" s="23">
        <v>0</v>
      </c>
      <c r="L139" s="23">
        <v>27300.17</v>
      </c>
      <c r="M139" s="23">
        <f>N139+P139</f>
        <v>993.01</v>
      </c>
      <c r="N139" s="45">
        <f>792.73+1.68</f>
        <v>794.41</v>
      </c>
      <c r="O139" s="187">
        <v>800</v>
      </c>
      <c r="P139" s="45">
        <f>198.18+0.42</f>
        <v>198.6</v>
      </c>
      <c r="Q139" s="191">
        <v>199</v>
      </c>
      <c r="R139" s="83">
        <v>0</v>
      </c>
      <c r="S139" s="98">
        <v>166800</v>
      </c>
      <c r="T139" s="23">
        <f>J139/5000*100</f>
        <v>546.00339999999994</v>
      </c>
      <c r="U139" s="169">
        <v>500</v>
      </c>
      <c r="V139" s="99">
        <f t="shared" ref="V139" si="28">U139*2</f>
        <v>1000</v>
      </c>
      <c r="W139" s="55">
        <f>H139-S139-U139</f>
        <v>0.16999999998370185</v>
      </c>
      <c r="X139" s="56"/>
      <c r="Z139" s="182"/>
    </row>
    <row r="140" spans="1:26" s="180" customFormat="1" ht="24.95" hidden="1" customHeight="1">
      <c r="A140" s="29"/>
      <c r="B140" s="21"/>
      <c r="C140" s="22"/>
      <c r="D140" s="22" t="s">
        <v>288</v>
      </c>
      <c r="E140" s="23"/>
      <c r="F140" s="41" t="e">
        <f t="shared" si="21"/>
        <v>#DIV/0!</v>
      </c>
      <c r="G140" s="37"/>
      <c r="H140" s="98"/>
      <c r="I140" s="23">
        <v>10000</v>
      </c>
      <c r="J140" s="23"/>
      <c r="K140" s="23"/>
      <c r="L140" s="23"/>
      <c r="M140" s="23"/>
      <c r="N140" s="45"/>
      <c r="O140" s="187"/>
      <c r="P140" s="45"/>
      <c r="Q140" s="191"/>
      <c r="R140" s="83"/>
      <c r="S140" s="98"/>
      <c r="T140" s="23"/>
      <c r="U140" s="169"/>
      <c r="V140" s="99"/>
      <c r="W140" s="55"/>
      <c r="X140" s="56"/>
      <c r="Z140" s="182"/>
    </row>
    <row r="141" spans="1:26" s="180" customFormat="1" ht="24.95" hidden="1" customHeight="1">
      <c r="A141" s="29"/>
      <c r="B141" s="21"/>
      <c r="C141" s="22"/>
      <c r="D141" s="22" t="s">
        <v>289</v>
      </c>
      <c r="E141" s="23"/>
      <c r="F141" s="41" t="e">
        <f t="shared" si="21"/>
        <v>#DIV/0!</v>
      </c>
      <c r="G141" s="37"/>
      <c r="H141" s="98"/>
      <c r="I141" s="23">
        <v>10000</v>
      </c>
      <c r="J141" s="23"/>
      <c r="K141" s="23"/>
      <c r="L141" s="23"/>
      <c r="M141" s="23"/>
      <c r="N141" s="45"/>
      <c r="O141" s="187"/>
      <c r="P141" s="45"/>
      <c r="Q141" s="191"/>
      <c r="R141" s="83"/>
      <c r="S141" s="98"/>
      <c r="T141" s="23"/>
      <c r="U141" s="169"/>
      <c r="V141" s="99"/>
      <c r="W141" s="55"/>
      <c r="X141" s="56"/>
      <c r="Z141" s="182"/>
    </row>
    <row r="142" spans="1:26" s="180" customFormat="1" ht="24.95" hidden="1" customHeight="1">
      <c r="A142" s="29"/>
      <c r="B142" s="21"/>
      <c r="C142" s="22"/>
      <c r="D142" s="22" t="s">
        <v>290</v>
      </c>
      <c r="E142" s="23"/>
      <c r="F142" s="41" t="e">
        <f t="shared" si="21"/>
        <v>#DIV/0!</v>
      </c>
      <c r="G142" s="37"/>
      <c r="H142" s="98"/>
      <c r="I142" s="23">
        <v>10000</v>
      </c>
      <c r="J142" s="23"/>
      <c r="K142" s="23"/>
      <c r="L142" s="23"/>
      <c r="M142" s="23"/>
      <c r="N142" s="45"/>
      <c r="O142" s="187"/>
      <c r="P142" s="45"/>
      <c r="Q142" s="191"/>
      <c r="R142" s="83"/>
      <c r="S142" s="98"/>
      <c r="T142" s="23"/>
      <c r="U142" s="169"/>
      <c r="V142" s="99"/>
      <c r="W142" s="55"/>
      <c r="X142" s="56"/>
      <c r="Z142" s="182"/>
    </row>
    <row r="143" spans="1:26" s="180" customFormat="1" ht="24.95" hidden="1" customHeight="1">
      <c r="A143" s="29"/>
      <c r="B143" s="21"/>
      <c r="C143" s="22"/>
      <c r="D143" s="22" t="s">
        <v>291</v>
      </c>
      <c r="E143" s="23"/>
      <c r="F143" s="41" t="e">
        <f t="shared" si="21"/>
        <v>#DIV/0!</v>
      </c>
      <c r="G143" s="37"/>
      <c r="H143" s="98"/>
      <c r="I143" s="23">
        <v>5000</v>
      </c>
      <c r="J143" s="23"/>
      <c r="K143" s="23"/>
      <c r="L143" s="23"/>
      <c r="M143" s="23"/>
      <c r="N143" s="45"/>
      <c r="O143" s="187"/>
      <c r="P143" s="45"/>
      <c r="Q143" s="191"/>
      <c r="R143" s="83"/>
      <c r="S143" s="98"/>
      <c r="T143" s="23"/>
      <c r="U143" s="169"/>
      <c r="V143" s="99"/>
      <c r="W143" s="55"/>
      <c r="X143" s="56"/>
      <c r="Z143" s="182"/>
    </row>
    <row r="144" spans="1:26" s="180" customFormat="1" ht="24.95" hidden="1" customHeight="1">
      <c r="A144" s="29"/>
      <c r="B144" s="21"/>
      <c r="C144" s="22"/>
      <c r="D144" s="22" t="s">
        <v>292</v>
      </c>
      <c r="E144" s="23"/>
      <c r="F144" s="41" t="e">
        <f t="shared" si="21"/>
        <v>#DIV/0!</v>
      </c>
      <c r="G144" s="37"/>
      <c r="H144" s="98"/>
      <c r="I144" s="23">
        <v>30000</v>
      </c>
      <c r="J144" s="23"/>
      <c r="K144" s="23"/>
      <c r="L144" s="23"/>
      <c r="M144" s="23"/>
      <c r="N144" s="45"/>
      <c r="O144" s="187"/>
      <c r="P144" s="45"/>
      <c r="Q144" s="191"/>
      <c r="R144" s="83"/>
      <c r="S144" s="98"/>
      <c r="T144" s="23"/>
      <c r="U144" s="169"/>
      <c r="V144" s="99"/>
      <c r="W144" s="55"/>
      <c r="X144" s="56"/>
      <c r="Z144" s="182"/>
    </row>
    <row r="145" spans="1:26" s="180" customFormat="1" ht="24.95" hidden="1" customHeight="1">
      <c r="A145" s="29"/>
      <c r="B145" s="21"/>
      <c r="C145" s="22"/>
      <c r="D145" s="22" t="s">
        <v>293</v>
      </c>
      <c r="E145" s="23"/>
      <c r="F145" s="41"/>
      <c r="G145" s="37"/>
      <c r="H145" s="98"/>
      <c r="I145" s="23">
        <v>15000</v>
      </c>
      <c r="J145" s="23"/>
      <c r="K145" s="23"/>
      <c r="L145" s="23"/>
      <c r="M145" s="23"/>
      <c r="N145" s="45"/>
      <c r="O145" s="187"/>
      <c r="P145" s="45"/>
      <c r="Q145" s="191"/>
      <c r="R145" s="83"/>
      <c r="S145" s="98"/>
      <c r="T145" s="23"/>
      <c r="U145" s="169"/>
      <c r="V145" s="99"/>
      <c r="W145" s="55"/>
      <c r="X145" s="56"/>
      <c r="Z145" s="182"/>
    </row>
    <row r="146" spans="1:26" s="180" customFormat="1" ht="24.95" hidden="1" customHeight="1">
      <c r="A146" s="29"/>
      <c r="B146" s="21"/>
      <c r="C146" s="22"/>
      <c r="D146" s="22" t="s">
        <v>294</v>
      </c>
      <c r="E146" s="23"/>
      <c r="F146" s="41"/>
      <c r="G146" s="37"/>
      <c r="H146" s="98"/>
      <c r="I146" s="23">
        <v>5000</v>
      </c>
      <c r="J146" s="23"/>
      <c r="K146" s="23"/>
      <c r="L146" s="23"/>
      <c r="M146" s="23"/>
      <c r="N146" s="45"/>
      <c r="O146" s="187"/>
      <c r="P146" s="45"/>
      <c r="Q146" s="191"/>
      <c r="R146" s="83"/>
      <c r="S146" s="98"/>
      <c r="T146" s="23"/>
      <c r="U146" s="169"/>
      <c r="V146" s="99"/>
      <c r="W146" s="55"/>
      <c r="X146" s="56"/>
      <c r="Z146" s="182"/>
    </row>
    <row r="147" spans="1:26" s="180" customFormat="1" ht="24.95" hidden="1" customHeight="1">
      <c r="A147" s="29"/>
      <c r="B147" s="21"/>
      <c r="C147" s="22"/>
      <c r="D147" s="22" t="s">
        <v>295</v>
      </c>
      <c r="E147" s="23"/>
      <c r="F147" s="41"/>
      <c r="G147" s="37"/>
      <c r="H147" s="98"/>
      <c r="I147" s="23">
        <v>5000</v>
      </c>
      <c r="J147" s="23"/>
      <c r="K147" s="23"/>
      <c r="L147" s="23"/>
      <c r="M147" s="23"/>
      <c r="N147" s="45"/>
      <c r="O147" s="187"/>
      <c r="P147" s="45"/>
      <c r="Q147" s="191"/>
      <c r="R147" s="83"/>
      <c r="S147" s="98"/>
      <c r="T147" s="23"/>
      <c r="U147" s="169"/>
      <c r="V147" s="99"/>
      <c r="W147" s="55"/>
      <c r="X147" s="56"/>
      <c r="Z147" s="182"/>
    </row>
    <row r="148" spans="1:26" s="180" customFormat="1" ht="24.95" hidden="1" customHeight="1">
      <c r="A148" s="29"/>
      <c r="B148" s="21"/>
      <c r="C148" s="22"/>
      <c r="D148" s="22" t="s">
        <v>296</v>
      </c>
      <c r="E148" s="23"/>
      <c r="F148" s="41"/>
      <c r="G148" s="37"/>
      <c r="H148" s="98"/>
      <c r="I148" s="23">
        <v>50000</v>
      </c>
      <c r="J148" s="23"/>
      <c r="K148" s="23"/>
      <c r="L148" s="23"/>
      <c r="M148" s="23"/>
      <c r="N148" s="45"/>
      <c r="O148" s="187"/>
      <c r="P148" s="45"/>
      <c r="Q148" s="191"/>
      <c r="R148" s="83"/>
      <c r="S148" s="98"/>
      <c r="T148" s="23"/>
      <c r="U148" s="169"/>
      <c r="V148" s="99"/>
      <c r="W148" s="55"/>
      <c r="X148" s="56"/>
      <c r="Z148" s="182"/>
    </row>
    <row r="149" spans="1:26" s="180" customFormat="1" ht="24.95" customHeight="1">
      <c r="A149" s="29" t="s">
        <v>35</v>
      </c>
      <c r="B149" s="21"/>
      <c r="C149" s="22" t="s">
        <v>297</v>
      </c>
      <c r="D149" s="22" t="s">
        <v>298</v>
      </c>
      <c r="E149" s="23">
        <v>170000</v>
      </c>
      <c r="F149" s="41">
        <f t="shared" si="21"/>
        <v>1.6623529411764707E-3</v>
      </c>
      <c r="G149" s="37">
        <v>21</v>
      </c>
      <c r="H149" s="98">
        <f>I149+J149</f>
        <v>282.60000000000002</v>
      </c>
      <c r="I149" s="23">
        <v>0</v>
      </c>
      <c r="J149" s="23">
        <f>K149+L149</f>
        <v>282.60000000000002</v>
      </c>
      <c r="K149" s="23">
        <v>0</v>
      </c>
      <c r="L149" s="23">
        <v>282.60000000000002</v>
      </c>
      <c r="M149" s="23">
        <f>N149+P149</f>
        <v>28.2</v>
      </c>
      <c r="N149" s="45">
        <v>22.56</v>
      </c>
      <c r="O149" s="187">
        <v>0</v>
      </c>
      <c r="P149" s="45">
        <v>5.64</v>
      </c>
      <c r="Q149" s="191">
        <v>6</v>
      </c>
      <c r="R149" s="83">
        <v>0</v>
      </c>
      <c r="S149" s="98">
        <v>300</v>
      </c>
      <c r="T149" s="23">
        <f>J149/5000*100</f>
        <v>5.652000000000001</v>
      </c>
      <c r="U149" s="169">
        <v>0</v>
      </c>
      <c r="V149" s="99">
        <f t="shared" ref="V149:V150" si="29">U149*2</f>
        <v>0</v>
      </c>
      <c r="W149" s="55">
        <f>H149-S149-U149</f>
        <v>-17.399999999999977</v>
      </c>
      <c r="X149" s="56"/>
      <c r="Z149" s="182"/>
    </row>
    <row r="150" spans="1:26" s="180" customFormat="1" ht="24.95" customHeight="1">
      <c r="A150" s="29" t="s">
        <v>36</v>
      </c>
      <c r="B150" s="21"/>
      <c r="C150" s="22" t="s">
        <v>299</v>
      </c>
      <c r="D150" s="22" t="s">
        <v>37</v>
      </c>
      <c r="E150" s="23">
        <v>170000</v>
      </c>
      <c r="F150" s="41">
        <f t="shared" si="21"/>
        <v>0.76766770588235289</v>
      </c>
      <c r="G150" s="37">
        <v>341</v>
      </c>
      <c r="H150" s="98">
        <f>I150+J150</f>
        <v>130503.51</v>
      </c>
      <c r="I150" s="23">
        <f>SUM(I151)</f>
        <v>100000</v>
      </c>
      <c r="J150" s="23">
        <f>K150+L150</f>
        <v>30503.51</v>
      </c>
      <c r="K150" s="23">
        <v>0</v>
      </c>
      <c r="L150" s="23">
        <v>30503.51</v>
      </c>
      <c r="M150" s="23">
        <f>N150+P150</f>
        <v>4742.92</v>
      </c>
      <c r="N150" s="45">
        <v>3794.34</v>
      </c>
      <c r="O150" s="187">
        <v>3800</v>
      </c>
      <c r="P150" s="50">
        <v>948.58</v>
      </c>
      <c r="Q150" s="187">
        <v>949</v>
      </c>
      <c r="R150" s="202">
        <v>0</v>
      </c>
      <c r="S150" s="98">
        <v>129900</v>
      </c>
      <c r="T150" s="23">
        <f>J150/5000*100</f>
        <v>610.0702</v>
      </c>
      <c r="U150" s="169">
        <v>600</v>
      </c>
      <c r="V150" s="99">
        <f t="shared" si="29"/>
        <v>1200</v>
      </c>
      <c r="W150" s="55">
        <f>H150-S150-U150</f>
        <v>3.5099999999947613</v>
      </c>
      <c r="X150" s="56"/>
      <c r="Z150" s="182"/>
    </row>
    <row r="151" spans="1:26" s="180" customFormat="1" ht="24.95" hidden="1" customHeight="1">
      <c r="A151" s="29"/>
      <c r="B151" s="21"/>
      <c r="C151" s="22"/>
      <c r="D151" s="22" t="s">
        <v>300</v>
      </c>
      <c r="E151" s="23"/>
      <c r="F151" s="41" t="e">
        <f t="shared" si="21"/>
        <v>#DIV/0!</v>
      </c>
      <c r="G151" s="37"/>
      <c r="H151" s="98"/>
      <c r="I151" s="23">
        <v>100000</v>
      </c>
      <c r="J151" s="23"/>
      <c r="K151" s="23"/>
      <c r="L151" s="23"/>
      <c r="M151" s="23"/>
      <c r="N151" s="45"/>
      <c r="O151" s="45"/>
      <c r="P151" s="50"/>
      <c r="Q151" s="45"/>
      <c r="R151" s="81"/>
      <c r="S151" s="98"/>
      <c r="T151" s="23"/>
      <c r="U151" s="169"/>
      <c r="V151" s="99"/>
      <c r="W151" s="55"/>
      <c r="X151" s="56"/>
      <c r="Z151" s="182"/>
    </row>
    <row r="152" spans="1:26" s="180" customFormat="1" ht="24.95" customHeight="1">
      <c r="A152" s="29" t="s">
        <v>38</v>
      </c>
      <c r="B152" s="21"/>
      <c r="C152" s="22" t="s">
        <v>301</v>
      </c>
      <c r="D152" s="22" t="s">
        <v>39</v>
      </c>
      <c r="E152" s="23">
        <v>170000</v>
      </c>
      <c r="F152" s="41">
        <f t="shared" si="21"/>
        <v>2.3038882352941176E-2</v>
      </c>
      <c r="G152" s="37">
        <v>63</v>
      </c>
      <c r="H152" s="98">
        <f>I152+J152</f>
        <v>3916.61</v>
      </c>
      <c r="I152" s="23">
        <v>0</v>
      </c>
      <c r="J152" s="23">
        <f>K152+L152</f>
        <v>3916.61</v>
      </c>
      <c r="K152" s="23">
        <v>0</v>
      </c>
      <c r="L152" s="23">
        <v>3916.61</v>
      </c>
      <c r="M152" s="23">
        <f>N152+P152</f>
        <v>25</v>
      </c>
      <c r="N152" s="23">
        <v>20</v>
      </c>
      <c r="O152" s="188">
        <v>0</v>
      </c>
      <c r="P152" s="169">
        <v>5</v>
      </c>
      <c r="Q152" s="203">
        <v>5</v>
      </c>
      <c r="R152" s="46">
        <v>0</v>
      </c>
      <c r="S152" s="98">
        <v>3900</v>
      </c>
      <c r="T152" s="23">
        <f>J152/5000*100</f>
        <v>78.3322</v>
      </c>
      <c r="U152" s="169">
        <v>0</v>
      </c>
      <c r="V152" s="99">
        <f t="shared" ref="V152:V154" si="30">U152*2</f>
        <v>0</v>
      </c>
      <c r="W152" s="55">
        <f>H152-S152-U152</f>
        <v>16.610000000000127</v>
      </c>
      <c r="X152" s="56"/>
      <c r="Z152" s="182"/>
    </row>
    <row r="153" spans="1:26" s="180" customFormat="1" ht="24.95" customHeight="1">
      <c r="A153" s="29" t="s">
        <v>40</v>
      </c>
      <c r="B153" s="21"/>
      <c r="C153" s="22" t="s">
        <v>302</v>
      </c>
      <c r="D153" s="22" t="s">
        <v>303</v>
      </c>
      <c r="E153" s="23">
        <v>200000</v>
      </c>
      <c r="F153" s="41">
        <f t="shared" si="21"/>
        <v>2.4132600000000001E-2</v>
      </c>
      <c r="G153" s="37">
        <v>187</v>
      </c>
      <c r="H153" s="98">
        <f>I153+J153</f>
        <v>4826.5200000000004</v>
      </c>
      <c r="I153" s="23">
        <v>0</v>
      </c>
      <c r="J153" s="23">
        <f>K153+L153</f>
        <v>4826.5200000000004</v>
      </c>
      <c r="K153" s="23">
        <v>0</v>
      </c>
      <c r="L153" s="23">
        <v>4826.5200000000004</v>
      </c>
      <c r="M153" s="23">
        <f>N153+P153</f>
        <v>488.08000000000004</v>
      </c>
      <c r="N153" s="45">
        <f>390.35+0.12</f>
        <v>390.47</v>
      </c>
      <c r="O153" s="187">
        <v>400</v>
      </c>
      <c r="P153" s="50">
        <f>97.58+0.03</f>
        <v>97.61</v>
      </c>
      <c r="Q153" s="187">
        <v>98</v>
      </c>
      <c r="R153" s="46">
        <v>0</v>
      </c>
      <c r="S153" s="98">
        <v>4800</v>
      </c>
      <c r="T153" s="23">
        <f>J153/5000*100</f>
        <v>96.5304</v>
      </c>
      <c r="U153" s="169">
        <v>0</v>
      </c>
      <c r="V153" s="99">
        <f t="shared" si="30"/>
        <v>0</v>
      </c>
      <c r="W153" s="55">
        <f>H153-S153-U153</f>
        <v>26.520000000000437</v>
      </c>
      <c r="X153" s="56"/>
      <c r="Z153" s="182"/>
    </row>
    <row r="154" spans="1:26" s="180" customFormat="1" ht="24.95" customHeight="1">
      <c r="A154" s="29" t="s">
        <v>41</v>
      </c>
      <c r="B154" s="21" t="s">
        <v>0</v>
      </c>
      <c r="C154" s="22" t="s">
        <v>304</v>
      </c>
      <c r="D154" s="22" t="s">
        <v>42</v>
      </c>
      <c r="E154" s="23">
        <v>150000</v>
      </c>
      <c r="F154" s="41">
        <f t="shared" si="21"/>
        <v>0.73936113333333331</v>
      </c>
      <c r="G154" s="37">
        <v>274</v>
      </c>
      <c r="H154" s="98">
        <f>I154+J154</f>
        <v>110904.17</v>
      </c>
      <c r="I154" s="23">
        <f>SUM(I155:I157)</f>
        <v>78000</v>
      </c>
      <c r="J154" s="23">
        <f>K154+L154</f>
        <v>32904.17</v>
      </c>
      <c r="K154" s="23">
        <v>0</v>
      </c>
      <c r="L154" s="23">
        <v>32904.17</v>
      </c>
      <c r="M154" s="23">
        <f>N154+P154</f>
        <v>1618.83</v>
      </c>
      <c r="N154" s="45">
        <f>1249.27+45.8</f>
        <v>1295.07</v>
      </c>
      <c r="O154" s="187">
        <v>1300</v>
      </c>
      <c r="P154" s="50">
        <f>312.31+11.45</f>
        <v>323.76</v>
      </c>
      <c r="Q154" s="187">
        <v>324</v>
      </c>
      <c r="R154" s="46">
        <v>0</v>
      </c>
      <c r="S154" s="98">
        <v>110300</v>
      </c>
      <c r="T154" s="23">
        <f>J154/5000*100</f>
        <v>658.08339999999998</v>
      </c>
      <c r="U154" s="169">
        <v>600</v>
      </c>
      <c r="V154" s="99">
        <f t="shared" si="30"/>
        <v>1200</v>
      </c>
      <c r="W154" s="55">
        <f>H154-S154-U154</f>
        <v>4.1699999999982538</v>
      </c>
      <c r="X154" s="58"/>
      <c r="Z154" s="182"/>
    </row>
    <row r="155" spans="1:26" s="180" customFormat="1" ht="24.95" hidden="1" customHeight="1">
      <c r="A155" s="29"/>
      <c r="B155" s="21"/>
      <c r="C155" s="22"/>
      <c r="D155" s="22" t="s">
        <v>305</v>
      </c>
      <c r="E155" s="23"/>
      <c r="F155" s="41" t="e">
        <f t="shared" si="21"/>
        <v>#DIV/0!</v>
      </c>
      <c r="G155" s="37"/>
      <c r="H155" s="98"/>
      <c r="I155" s="23">
        <v>20000</v>
      </c>
      <c r="J155" s="23"/>
      <c r="K155" s="23"/>
      <c r="L155" s="23"/>
      <c r="M155" s="23"/>
      <c r="N155" s="45"/>
      <c r="O155" s="187"/>
      <c r="P155" s="50"/>
      <c r="Q155" s="187"/>
      <c r="R155" s="204"/>
      <c r="S155" s="98"/>
      <c r="T155" s="23"/>
      <c r="U155" s="169"/>
      <c r="V155" s="99"/>
      <c r="W155" s="55"/>
      <c r="X155" s="58"/>
      <c r="Z155" s="182"/>
    </row>
    <row r="156" spans="1:26" s="180" customFormat="1" ht="24.95" hidden="1" customHeight="1">
      <c r="A156" s="29"/>
      <c r="B156" s="21"/>
      <c r="C156" s="22"/>
      <c r="D156" s="22" t="s">
        <v>306</v>
      </c>
      <c r="E156" s="23"/>
      <c r="F156" s="41" t="e">
        <f t="shared" si="21"/>
        <v>#DIV/0!</v>
      </c>
      <c r="G156" s="37"/>
      <c r="H156" s="98"/>
      <c r="I156" s="23">
        <v>50000</v>
      </c>
      <c r="J156" s="23"/>
      <c r="K156" s="23"/>
      <c r="L156" s="23"/>
      <c r="M156" s="23"/>
      <c r="N156" s="45"/>
      <c r="O156" s="187"/>
      <c r="P156" s="50"/>
      <c r="Q156" s="187"/>
      <c r="R156" s="204"/>
      <c r="S156" s="98"/>
      <c r="T156" s="23"/>
      <c r="U156" s="169"/>
      <c r="V156" s="99"/>
      <c r="W156" s="55"/>
      <c r="X156" s="58"/>
      <c r="Z156" s="182"/>
    </row>
    <row r="157" spans="1:26" s="180" customFormat="1" ht="24.95" hidden="1" customHeight="1">
      <c r="A157" s="29"/>
      <c r="B157" s="21"/>
      <c r="C157" s="22"/>
      <c r="D157" s="22" t="s">
        <v>307</v>
      </c>
      <c r="E157" s="23"/>
      <c r="F157" s="41"/>
      <c r="G157" s="37"/>
      <c r="H157" s="98"/>
      <c r="I157" s="23">
        <v>8000</v>
      </c>
      <c r="J157" s="23"/>
      <c r="K157" s="23"/>
      <c r="L157" s="23"/>
      <c r="M157" s="23"/>
      <c r="N157" s="45"/>
      <c r="O157" s="187"/>
      <c r="P157" s="50"/>
      <c r="Q157" s="187"/>
      <c r="R157" s="204"/>
      <c r="S157" s="98"/>
      <c r="T157" s="23"/>
      <c r="U157" s="169"/>
      <c r="V157" s="99"/>
      <c r="W157" s="55"/>
      <c r="X157" s="58"/>
      <c r="Z157" s="182"/>
    </row>
    <row r="158" spans="1:26" s="180" customFormat="1" ht="24.95" customHeight="1">
      <c r="A158" s="29" t="s">
        <v>43</v>
      </c>
      <c r="B158" s="21"/>
      <c r="C158" s="22" t="s">
        <v>308</v>
      </c>
      <c r="D158" s="22" t="s">
        <v>309</v>
      </c>
      <c r="E158" s="23">
        <v>300000</v>
      </c>
      <c r="F158" s="41">
        <f t="shared" si="21"/>
        <v>0.60063999999999995</v>
      </c>
      <c r="G158" s="37">
        <v>8</v>
      </c>
      <c r="H158" s="98">
        <f>I158+J158</f>
        <v>180192</v>
      </c>
      <c r="I158" s="23">
        <f>SUM(I159:I161)</f>
        <v>180000</v>
      </c>
      <c r="J158" s="23">
        <f>K158+L158</f>
        <v>192</v>
      </c>
      <c r="K158" s="23">
        <v>0</v>
      </c>
      <c r="L158" s="23">
        <v>192</v>
      </c>
      <c r="M158" s="23">
        <f>N158+P158</f>
        <v>17.96</v>
      </c>
      <c r="N158" s="45">
        <v>14.37</v>
      </c>
      <c r="O158" s="187">
        <v>0</v>
      </c>
      <c r="P158" s="50">
        <v>3.59</v>
      </c>
      <c r="Q158" s="205">
        <v>4</v>
      </c>
      <c r="R158" s="206">
        <v>0</v>
      </c>
      <c r="S158" s="98">
        <v>180200</v>
      </c>
      <c r="T158" s="23">
        <f>J158/5000*100</f>
        <v>3.84</v>
      </c>
      <c r="U158" s="169">
        <v>0</v>
      </c>
      <c r="V158" s="99">
        <f t="shared" ref="V158" si="31">U158*2</f>
        <v>0</v>
      </c>
      <c r="W158" s="55">
        <f>H158-S158-U158</f>
        <v>-8</v>
      </c>
      <c r="X158" s="58"/>
      <c r="Z158" s="182"/>
    </row>
    <row r="159" spans="1:26" s="180" customFormat="1" ht="24.95" hidden="1" customHeight="1">
      <c r="A159" s="23"/>
      <c r="B159" s="23"/>
      <c r="C159" s="23"/>
      <c r="D159" s="22" t="s">
        <v>310</v>
      </c>
      <c r="E159" s="32"/>
      <c r="F159" s="33"/>
      <c r="G159" s="34"/>
      <c r="H159" s="98"/>
      <c r="I159" s="23">
        <v>60000</v>
      </c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169"/>
      <c r="V159" s="169"/>
      <c r="W159" s="55"/>
      <c r="X159" s="58"/>
      <c r="Z159" s="182"/>
    </row>
    <row r="160" spans="1:26" s="180" customFormat="1" ht="24.95" hidden="1" customHeight="1">
      <c r="A160" s="23"/>
      <c r="B160" s="23"/>
      <c r="C160" s="23"/>
      <c r="D160" s="22" t="s">
        <v>311</v>
      </c>
      <c r="E160" s="32"/>
      <c r="F160" s="33"/>
      <c r="G160" s="34"/>
      <c r="H160" s="98"/>
      <c r="I160" s="23">
        <v>60000</v>
      </c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169"/>
      <c r="V160" s="169"/>
      <c r="W160" s="55"/>
      <c r="X160" s="58"/>
      <c r="Z160" s="182"/>
    </row>
    <row r="161" spans="1:26" s="180" customFormat="1" ht="24.95" hidden="1" customHeight="1">
      <c r="A161" s="23"/>
      <c r="B161" s="23"/>
      <c r="C161" s="23"/>
      <c r="D161" s="22" t="s">
        <v>312</v>
      </c>
      <c r="E161" s="32"/>
      <c r="F161" s="33"/>
      <c r="G161" s="34"/>
      <c r="H161" s="98"/>
      <c r="I161" s="23">
        <v>60000</v>
      </c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169"/>
      <c r="V161" s="169"/>
      <c r="W161" s="55"/>
      <c r="X161" s="58"/>
      <c r="Z161" s="182"/>
    </row>
    <row r="162" spans="1:26" s="180" customFormat="1" ht="24.95" customHeight="1">
      <c r="A162" s="244" t="s">
        <v>313</v>
      </c>
      <c r="B162" s="245"/>
      <c r="C162" s="245"/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51"/>
      <c r="X162" s="183"/>
      <c r="Z162" s="182"/>
    </row>
    <row r="163" spans="1:26" s="180" customFormat="1" ht="24.95" customHeight="1">
      <c r="A163" s="15" t="s">
        <v>314</v>
      </c>
      <c r="B163" s="35" t="s">
        <v>0</v>
      </c>
      <c r="C163" s="10" t="s">
        <v>315</v>
      </c>
      <c r="D163" s="10" t="s">
        <v>316</v>
      </c>
      <c r="E163" s="19">
        <v>1650000</v>
      </c>
      <c r="F163" s="39">
        <f>H163/E163</f>
        <v>1.8603079030303031</v>
      </c>
      <c r="G163" s="18">
        <f>G164+G165+G219+G220+G230+G242+G254</f>
        <v>6083</v>
      </c>
      <c r="H163" s="97">
        <f>I163+J163</f>
        <v>3069508.04</v>
      </c>
      <c r="I163" s="19">
        <f>I164+I165+I219+I220+I230+I242+I254</f>
        <v>2589350</v>
      </c>
      <c r="J163" s="19">
        <f>K163+L163</f>
        <v>480158.04000000004</v>
      </c>
      <c r="K163" s="19">
        <v>0</v>
      </c>
      <c r="L163" s="19">
        <f>SUM(L164:L254)</f>
        <v>480158.04000000004</v>
      </c>
      <c r="M163" s="19">
        <f t="shared" ref="M163:R163" si="32">M164+M165+M219+M220+M230+M242+M254</f>
        <v>6239.47</v>
      </c>
      <c r="N163" s="19">
        <f t="shared" si="32"/>
        <v>4991.6000000000004</v>
      </c>
      <c r="O163" s="186">
        <f t="shared" si="32"/>
        <v>5000</v>
      </c>
      <c r="P163" s="63">
        <f t="shared" si="32"/>
        <v>1247.8699999999999</v>
      </c>
      <c r="Q163" s="207">
        <f t="shared" si="32"/>
        <v>1250</v>
      </c>
      <c r="R163" s="63">
        <f t="shared" si="32"/>
        <v>1323000</v>
      </c>
      <c r="S163" s="97">
        <f>SUM(S164,S165,S219,S220,S230,S242,S254)</f>
        <v>1710100</v>
      </c>
      <c r="T163" s="19">
        <f>SUM(T164,T165,T219,T220,T230,T242,T254)</f>
        <v>36603.120799999997</v>
      </c>
      <c r="U163" s="19">
        <f>SUM(U164,U165,U219,U220,U230,U242,U254)</f>
        <v>36300</v>
      </c>
      <c r="V163" s="97">
        <f>SUM(V164,V165,V219,V220,V230,V242,V254)</f>
        <v>18600</v>
      </c>
      <c r="W163" s="52">
        <f>H163-R163-S163-U163</f>
        <v>108.04000000003725</v>
      </c>
      <c r="X163" s="58"/>
      <c r="Z163" s="59"/>
    </row>
    <row r="164" spans="1:26" ht="24.95" customHeight="1">
      <c r="A164" s="29" t="s">
        <v>317</v>
      </c>
      <c r="B164" s="21" t="s">
        <v>0</v>
      </c>
      <c r="C164" s="22" t="s">
        <v>318</v>
      </c>
      <c r="D164" s="22" t="s">
        <v>319</v>
      </c>
      <c r="E164" s="23">
        <v>150000</v>
      </c>
      <c r="F164" s="41">
        <f t="shared" ref="F164:F254" si="33">H164/E164</f>
        <v>1.0001713999999999</v>
      </c>
      <c r="G164" s="26">
        <v>3461</v>
      </c>
      <c r="H164" s="98">
        <f>I164+J164</f>
        <v>150025.71</v>
      </c>
      <c r="I164" s="23">
        <v>0</v>
      </c>
      <c r="J164" s="23">
        <f>K164+L164</f>
        <v>150025.71</v>
      </c>
      <c r="K164" s="23">
        <v>0</v>
      </c>
      <c r="L164" s="23">
        <v>150025.71</v>
      </c>
      <c r="M164" s="23">
        <f>N164+P164</f>
        <v>827.92999999999984</v>
      </c>
      <c r="N164" s="45">
        <f>661.43+0.92</f>
        <v>662.34999999999991</v>
      </c>
      <c r="O164" s="191">
        <v>670</v>
      </c>
      <c r="P164" s="50">
        <f>165.35+0.23</f>
        <v>165.57999999999998</v>
      </c>
      <c r="Q164" s="187">
        <v>170</v>
      </c>
      <c r="R164" s="51">
        <v>0</v>
      </c>
      <c r="S164" s="98">
        <v>147000</v>
      </c>
      <c r="T164" s="23">
        <f>J164/5000*100</f>
        <v>3000.5142000000001</v>
      </c>
      <c r="U164" s="169">
        <v>3000</v>
      </c>
      <c r="V164" s="99">
        <f t="shared" ref="V164:V165" si="34">U164*2</f>
        <v>6000</v>
      </c>
      <c r="W164" s="55">
        <f>H164-R164-S164-U164</f>
        <v>25.709999999991851</v>
      </c>
      <c r="X164" s="56"/>
    </row>
    <row r="165" spans="1:26" ht="24.95" customHeight="1">
      <c r="A165" s="29" t="s">
        <v>320</v>
      </c>
      <c r="B165" s="21" t="s">
        <v>0</v>
      </c>
      <c r="C165" s="22" t="s">
        <v>321</v>
      </c>
      <c r="D165" s="22" t="s">
        <v>44</v>
      </c>
      <c r="E165" s="23">
        <v>300000</v>
      </c>
      <c r="F165" s="41">
        <f t="shared" si="33"/>
        <v>3.4817281333333332</v>
      </c>
      <c r="G165" s="26">
        <v>1984</v>
      </c>
      <c r="H165" s="98">
        <f>I165+J165</f>
        <v>1044518.44</v>
      </c>
      <c r="I165" s="23">
        <f>SUM(I166:I218)</f>
        <v>928350</v>
      </c>
      <c r="J165" s="23">
        <f>K165+L165</f>
        <v>116168.44</v>
      </c>
      <c r="K165" s="23">
        <v>0</v>
      </c>
      <c r="L165" s="23">
        <v>116168.44</v>
      </c>
      <c r="M165" s="23">
        <f>N165+P165</f>
        <v>1108.8000000000002</v>
      </c>
      <c r="N165" s="45">
        <f>790.69+87.87+8.49</f>
        <v>887.05000000000007</v>
      </c>
      <c r="O165" s="191">
        <v>890</v>
      </c>
      <c r="P165" s="50">
        <f>197.67+21.96+2.12</f>
        <v>221.75</v>
      </c>
      <c r="Q165" s="188">
        <v>220</v>
      </c>
      <c r="R165" s="51">
        <v>0</v>
      </c>
      <c r="S165" s="98">
        <v>1042200</v>
      </c>
      <c r="T165" s="23">
        <f>J165/5000*100</f>
        <v>2323.3688000000002</v>
      </c>
      <c r="U165" s="169">
        <v>2300</v>
      </c>
      <c r="V165" s="99">
        <f t="shared" si="34"/>
        <v>4600</v>
      </c>
      <c r="W165" s="55">
        <f>H165-R165-S165-U165</f>
        <v>18.439999999944121</v>
      </c>
      <c r="X165" s="56"/>
    </row>
    <row r="166" spans="1:26" ht="24.95" hidden="1" customHeight="1">
      <c r="A166" s="29"/>
      <c r="B166" s="21"/>
      <c r="C166" s="22"/>
      <c r="D166" s="102" t="s">
        <v>322</v>
      </c>
      <c r="E166" s="23"/>
      <c r="F166" s="41"/>
      <c r="G166" s="26"/>
      <c r="H166" s="98"/>
      <c r="I166" s="23">
        <v>50000</v>
      </c>
      <c r="J166" s="23"/>
      <c r="K166" s="23"/>
      <c r="L166" s="23"/>
      <c r="M166" s="23"/>
      <c r="N166" s="45"/>
      <c r="O166" s="191"/>
      <c r="P166" s="50"/>
      <c r="Q166" s="188"/>
      <c r="R166" s="51"/>
      <c r="S166" s="98"/>
      <c r="T166" s="23"/>
      <c r="U166" s="169"/>
      <c r="V166" s="99"/>
      <c r="W166" s="55"/>
      <c r="X166" s="56"/>
    </row>
    <row r="167" spans="1:26" ht="24.95" hidden="1" customHeight="1">
      <c r="A167" s="29"/>
      <c r="B167" s="21"/>
      <c r="C167" s="22"/>
      <c r="D167" s="102" t="s">
        <v>323</v>
      </c>
      <c r="E167" s="23"/>
      <c r="F167" s="41"/>
      <c r="G167" s="26"/>
      <c r="H167" s="98"/>
      <c r="I167" s="23">
        <v>30000</v>
      </c>
      <c r="J167" s="23"/>
      <c r="K167" s="23"/>
      <c r="L167" s="23"/>
      <c r="M167" s="23"/>
      <c r="N167" s="45"/>
      <c r="O167" s="191"/>
      <c r="P167" s="50"/>
      <c r="Q167" s="188"/>
      <c r="R167" s="51"/>
      <c r="S167" s="98"/>
      <c r="T167" s="23"/>
      <c r="U167" s="169"/>
      <c r="V167" s="99"/>
      <c r="W167" s="55"/>
      <c r="X167" s="56"/>
    </row>
    <row r="168" spans="1:26" ht="24.95" hidden="1" customHeight="1">
      <c r="A168" s="29"/>
      <c r="B168" s="21"/>
      <c r="C168" s="22"/>
      <c r="D168" s="102" t="s">
        <v>324</v>
      </c>
      <c r="E168" s="23"/>
      <c r="F168" s="41"/>
      <c r="G168" s="26"/>
      <c r="H168" s="98"/>
      <c r="I168" s="23">
        <v>15600</v>
      </c>
      <c r="J168" s="23"/>
      <c r="K168" s="23"/>
      <c r="L168" s="23"/>
      <c r="M168" s="23"/>
      <c r="N168" s="45"/>
      <c r="O168" s="191"/>
      <c r="P168" s="50"/>
      <c r="Q168" s="188"/>
      <c r="R168" s="51"/>
      <c r="S168" s="98"/>
      <c r="T168" s="23"/>
      <c r="U168" s="169"/>
      <c r="V168" s="99"/>
      <c r="W168" s="55"/>
      <c r="X168" s="56"/>
    </row>
    <row r="169" spans="1:26" ht="24.95" hidden="1" customHeight="1">
      <c r="A169" s="29"/>
      <c r="B169" s="21"/>
      <c r="C169" s="22"/>
      <c r="D169" s="102" t="s">
        <v>325</v>
      </c>
      <c r="E169" s="23"/>
      <c r="F169" s="41"/>
      <c r="G169" s="26"/>
      <c r="H169" s="98"/>
      <c r="I169" s="23">
        <v>20000</v>
      </c>
      <c r="J169" s="23"/>
      <c r="K169" s="23"/>
      <c r="L169" s="23"/>
      <c r="M169" s="23"/>
      <c r="N169" s="45"/>
      <c r="O169" s="191"/>
      <c r="P169" s="50"/>
      <c r="Q169" s="188"/>
      <c r="R169" s="51"/>
      <c r="S169" s="98"/>
      <c r="T169" s="23"/>
      <c r="U169" s="169"/>
      <c r="V169" s="99"/>
      <c r="W169" s="55"/>
      <c r="X169" s="56"/>
    </row>
    <row r="170" spans="1:26" ht="24.95" hidden="1" customHeight="1">
      <c r="A170" s="29"/>
      <c r="B170" s="21"/>
      <c r="C170" s="22"/>
      <c r="D170" s="102" t="s">
        <v>326</v>
      </c>
      <c r="E170" s="23"/>
      <c r="F170" s="41"/>
      <c r="G170" s="26"/>
      <c r="H170" s="98"/>
      <c r="I170" s="23">
        <v>20000</v>
      </c>
      <c r="J170" s="23"/>
      <c r="K170" s="23"/>
      <c r="L170" s="23"/>
      <c r="M170" s="23"/>
      <c r="N170" s="45"/>
      <c r="O170" s="191"/>
      <c r="P170" s="50"/>
      <c r="Q170" s="188"/>
      <c r="R170" s="51"/>
      <c r="S170" s="98"/>
      <c r="T170" s="23"/>
      <c r="U170" s="169"/>
      <c r="V170" s="99"/>
      <c r="W170" s="55"/>
      <c r="X170" s="56"/>
    </row>
    <row r="171" spans="1:26" ht="24.95" hidden="1" customHeight="1">
      <c r="A171" s="29"/>
      <c r="B171" s="21"/>
      <c r="C171" s="22"/>
      <c r="D171" s="102" t="s">
        <v>327</v>
      </c>
      <c r="E171" s="103"/>
      <c r="F171" s="41"/>
      <c r="G171" s="26"/>
      <c r="H171" s="98"/>
      <c r="I171" s="23">
        <v>20000</v>
      </c>
      <c r="J171" s="23"/>
      <c r="K171" s="23"/>
      <c r="L171" s="23"/>
      <c r="M171" s="23"/>
      <c r="N171" s="45"/>
      <c r="O171" s="191"/>
      <c r="P171" s="50"/>
      <c r="Q171" s="188"/>
      <c r="R171" s="51"/>
      <c r="S171" s="98"/>
      <c r="T171" s="23"/>
      <c r="U171" s="169"/>
      <c r="V171" s="99"/>
      <c r="W171" s="55"/>
      <c r="X171" s="56"/>
    </row>
    <row r="172" spans="1:26" ht="24.95" hidden="1" customHeight="1">
      <c r="A172" s="29"/>
      <c r="B172" s="21"/>
      <c r="C172" s="22"/>
      <c r="D172" s="102" t="s">
        <v>328</v>
      </c>
      <c r="E172" s="23"/>
      <c r="F172" s="41"/>
      <c r="G172" s="26"/>
      <c r="H172" s="98"/>
      <c r="I172" s="23">
        <v>3000</v>
      </c>
      <c r="J172" s="23"/>
      <c r="K172" s="23"/>
      <c r="L172" s="23"/>
      <c r="M172" s="23"/>
      <c r="N172" s="45"/>
      <c r="O172" s="191"/>
      <c r="P172" s="50"/>
      <c r="Q172" s="188"/>
      <c r="R172" s="51"/>
      <c r="S172" s="98"/>
      <c r="T172" s="23"/>
      <c r="U172" s="169"/>
      <c r="V172" s="99"/>
      <c r="W172" s="55"/>
      <c r="X172" s="56"/>
    </row>
    <row r="173" spans="1:26" ht="24.95" hidden="1" customHeight="1">
      <c r="A173" s="29"/>
      <c r="B173" s="21"/>
      <c r="C173" s="22"/>
      <c r="D173" s="102" t="s">
        <v>329</v>
      </c>
      <c r="E173" s="23"/>
      <c r="F173" s="41"/>
      <c r="G173" s="26"/>
      <c r="H173" s="98"/>
      <c r="I173" s="23">
        <v>2000</v>
      </c>
      <c r="J173" s="23"/>
      <c r="K173" s="23"/>
      <c r="L173" s="23"/>
      <c r="M173" s="23"/>
      <c r="N173" s="45"/>
      <c r="O173" s="191"/>
      <c r="P173" s="50"/>
      <c r="Q173" s="188"/>
      <c r="R173" s="51"/>
      <c r="S173" s="98"/>
      <c r="T173" s="23"/>
      <c r="U173" s="169"/>
      <c r="V173" s="99"/>
      <c r="W173" s="55"/>
      <c r="X173" s="56"/>
    </row>
    <row r="174" spans="1:26" ht="24.95" hidden="1" customHeight="1">
      <c r="A174" s="29"/>
      <c r="B174" s="21"/>
      <c r="C174" s="22"/>
      <c r="D174" s="102" t="s">
        <v>330</v>
      </c>
      <c r="E174" s="23"/>
      <c r="F174" s="41"/>
      <c r="G174" s="26"/>
      <c r="H174" s="98"/>
      <c r="I174" s="23">
        <v>10000</v>
      </c>
      <c r="J174" s="23"/>
      <c r="K174" s="23"/>
      <c r="L174" s="23"/>
      <c r="M174" s="23"/>
      <c r="N174" s="45"/>
      <c r="O174" s="191"/>
      <c r="P174" s="50"/>
      <c r="Q174" s="188"/>
      <c r="R174" s="51"/>
      <c r="S174" s="98"/>
      <c r="T174" s="23"/>
      <c r="U174" s="169"/>
      <c r="V174" s="99"/>
      <c r="W174" s="55"/>
      <c r="X174" s="56"/>
    </row>
    <row r="175" spans="1:26" ht="24.95" hidden="1" customHeight="1">
      <c r="A175" s="29"/>
      <c r="B175" s="21"/>
      <c r="C175" s="22"/>
      <c r="D175" s="102" t="s">
        <v>331</v>
      </c>
      <c r="E175" s="23"/>
      <c r="F175" s="41"/>
      <c r="G175" s="26"/>
      <c r="H175" s="98"/>
      <c r="I175" s="23">
        <v>10000</v>
      </c>
      <c r="J175" s="23"/>
      <c r="K175" s="23"/>
      <c r="L175" s="23"/>
      <c r="M175" s="23"/>
      <c r="N175" s="45"/>
      <c r="O175" s="191"/>
      <c r="P175" s="50"/>
      <c r="Q175" s="188"/>
      <c r="R175" s="51"/>
      <c r="S175" s="98"/>
      <c r="T175" s="23"/>
      <c r="U175" s="169"/>
      <c r="V175" s="99"/>
      <c r="W175" s="55"/>
      <c r="X175" s="56"/>
    </row>
    <row r="176" spans="1:26" ht="24.95" hidden="1" customHeight="1">
      <c r="A176" s="29"/>
      <c r="B176" s="21"/>
      <c r="C176" s="22"/>
      <c r="D176" s="102" t="s">
        <v>332</v>
      </c>
      <c r="E176" s="23"/>
      <c r="F176" s="41"/>
      <c r="G176" s="26"/>
      <c r="H176" s="98"/>
      <c r="I176" s="23">
        <v>4000</v>
      </c>
      <c r="J176" s="23"/>
      <c r="K176" s="23"/>
      <c r="L176" s="23"/>
      <c r="M176" s="23"/>
      <c r="N176" s="45"/>
      <c r="O176" s="191"/>
      <c r="P176" s="50"/>
      <c r="Q176" s="188"/>
      <c r="R176" s="51"/>
      <c r="S176" s="98"/>
      <c r="T176" s="23"/>
      <c r="U176" s="169"/>
      <c r="V176" s="99"/>
      <c r="W176" s="55"/>
      <c r="X176" s="56"/>
    </row>
    <row r="177" spans="1:24" s="2" customFormat="1" ht="24.95" hidden="1" customHeight="1">
      <c r="A177" s="29"/>
      <c r="B177" s="21"/>
      <c r="C177" s="22"/>
      <c r="D177" s="102" t="s">
        <v>333</v>
      </c>
      <c r="E177" s="23"/>
      <c r="F177" s="41"/>
      <c r="G177" s="26"/>
      <c r="H177" s="98"/>
      <c r="I177" s="23">
        <v>5200</v>
      </c>
      <c r="J177" s="23"/>
      <c r="K177" s="23"/>
      <c r="L177" s="23"/>
      <c r="M177" s="23"/>
      <c r="N177" s="45"/>
      <c r="O177" s="191"/>
      <c r="P177" s="50"/>
      <c r="Q177" s="188"/>
      <c r="R177" s="51"/>
      <c r="S177" s="98"/>
      <c r="T177" s="23"/>
      <c r="U177" s="169"/>
      <c r="V177" s="99"/>
      <c r="W177" s="55"/>
      <c r="X177" s="56"/>
    </row>
    <row r="178" spans="1:24" s="2" customFormat="1" ht="24.95" hidden="1" customHeight="1">
      <c r="A178" s="29"/>
      <c r="B178" s="21"/>
      <c r="C178" s="22"/>
      <c r="D178" s="102" t="s">
        <v>334</v>
      </c>
      <c r="E178" s="23"/>
      <c r="F178" s="41"/>
      <c r="G178" s="26"/>
      <c r="H178" s="98"/>
      <c r="I178" s="23">
        <v>10000</v>
      </c>
      <c r="J178" s="23"/>
      <c r="K178" s="23"/>
      <c r="L178" s="23"/>
      <c r="M178" s="23"/>
      <c r="N178" s="45"/>
      <c r="O178" s="191"/>
      <c r="P178" s="50"/>
      <c r="Q178" s="188"/>
      <c r="R178" s="51"/>
      <c r="S178" s="98"/>
      <c r="T178" s="23"/>
      <c r="U178" s="169"/>
      <c r="V178" s="99"/>
      <c r="W178" s="55"/>
      <c r="X178" s="56"/>
    </row>
    <row r="179" spans="1:24" s="2" customFormat="1" ht="24.95" hidden="1" customHeight="1">
      <c r="A179" s="29"/>
      <c r="B179" s="21"/>
      <c r="C179" s="22"/>
      <c r="D179" s="102" t="s">
        <v>335</v>
      </c>
      <c r="E179" s="23"/>
      <c r="F179" s="41"/>
      <c r="G179" s="26"/>
      <c r="H179" s="98"/>
      <c r="I179" s="23">
        <v>5000</v>
      </c>
      <c r="J179" s="23"/>
      <c r="K179" s="23"/>
      <c r="L179" s="23"/>
      <c r="M179" s="23"/>
      <c r="N179" s="45"/>
      <c r="O179" s="191"/>
      <c r="P179" s="50"/>
      <c r="Q179" s="187"/>
      <c r="R179" s="51"/>
      <c r="S179" s="98"/>
      <c r="T179" s="23"/>
      <c r="U179" s="169"/>
      <c r="V179" s="99"/>
      <c r="W179" s="55"/>
      <c r="X179" s="56"/>
    </row>
    <row r="180" spans="1:24" s="2" customFormat="1" ht="24.95" hidden="1" customHeight="1">
      <c r="A180" s="29"/>
      <c r="B180" s="21"/>
      <c r="C180" s="22"/>
      <c r="D180" s="102" t="s">
        <v>336</v>
      </c>
      <c r="E180" s="23"/>
      <c r="F180" s="41"/>
      <c r="G180" s="26"/>
      <c r="H180" s="98"/>
      <c r="I180" s="23">
        <v>7550</v>
      </c>
      <c r="J180" s="23"/>
      <c r="K180" s="23"/>
      <c r="L180" s="23"/>
      <c r="M180" s="23"/>
      <c r="N180" s="45"/>
      <c r="O180" s="191"/>
      <c r="P180" s="50"/>
      <c r="Q180" s="188"/>
      <c r="R180" s="51"/>
      <c r="S180" s="98"/>
      <c r="T180" s="23"/>
      <c r="U180" s="169"/>
      <c r="V180" s="99"/>
      <c r="W180" s="55"/>
      <c r="X180" s="56"/>
    </row>
    <row r="181" spans="1:24" s="2" customFormat="1" ht="24.95" hidden="1" customHeight="1">
      <c r="A181" s="29"/>
      <c r="B181" s="21"/>
      <c r="C181" s="22"/>
      <c r="D181" s="102" t="s">
        <v>337</v>
      </c>
      <c r="E181" s="23"/>
      <c r="F181" s="41"/>
      <c r="G181" s="26"/>
      <c r="H181" s="98"/>
      <c r="I181" s="23">
        <v>50000</v>
      </c>
      <c r="J181" s="23"/>
      <c r="K181" s="23"/>
      <c r="L181" s="23"/>
      <c r="M181" s="23"/>
      <c r="N181" s="45"/>
      <c r="O181" s="191"/>
      <c r="P181" s="50"/>
      <c r="Q181" s="187"/>
      <c r="R181" s="51"/>
      <c r="S181" s="98"/>
      <c r="T181" s="23"/>
      <c r="U181" s="169"/>
      <c r="V181" s="99"/>
      <c r="W181" s="55"/>
      <c r="X181" s="56"/>
    </row>
    <row r="182" spans="1:24" s="2" customFormat="1" ht="24.95" hidden="1" customHeight="1">
      <c r="A182" s="29"/>
      <c r="B182" s="21"/>
      <c r="C182" s="22"/>
      <c r="D182" s="102" t="s">
        <v>338</v>
      </c>
      <c r="E182" s="23"/>
      <c r="F182" s="41"/>
      <c r="G182" s="26"/>
      <c r="H182" s="98"/>
      <c r="I182" s="23">
        <v>2000</v>
      </c>
      <c r="J182" s="23"/>
      <c r="K182" s="23"/>
      <c r="L182" s="23"/>
      <c r="M182" s="23"/>
      <c r="N182" s="45"/>
      <c r="O182" s="191"/>
      <c r="P182" s="50"/>
      <c r="Q182" s="186"/>
      <c r="R182" s="51"/>
      <c r="S182" s="98"/>
      <c r="T182" s="23"/>
      <c r="U182" s="169"/>
      <c r="V182" s="99"/>
      <c r="W182" s="55"/>
      <c r="X182" s="56"/>
    </row>
    <row r="183" spans="1:24" s="2" customFormat="1" ht="24.95" hidden="1" customHeight="1">
      <c r="A183" s="29"/>
      <c r="B183" s="21"/>
      <c r="C183" s="22"/>
      <c r="D183" s="102" t="s">
        <v>339</v>
      </c>
      <c r="E183" s="23"/>
      <c r="F183" s="41"/>
      <c r="G183" s="26"/>
      <c r="H183" s="98"/>
      <c r="I183" s="23">
        <v>50000</v>
      </c>
      <c r="J183" s="23"/>
      <c r="K183" s="23"/>
      <c r="L183" s="23"/>
      <c r="M183" s="23"/>
      <c r="N183" s="45"/>
      <c r="O183" s="191"/>
      <c r="P183" s="50"/>
      <c r="Q183" s="186"/>
      <c r="R183" s="51"/>
      <c r="S183" s="98"/>
      <c r="T183" s="23"/>
      <c r="U183" s="169"/>
      <c r="V183" s="99"/>
      <c r="W183" s="55"/>
      <c r="X183" s="56"/>
    </row>
    <row r="184" spans="1:24" s="2" customFormat="1" ht="24.95" hidden="1" customHeight="1">
      <c r="A184" s="29"/>
      <c r="B184" s="21"/>
      <c r="C184" s="22"/>
      <c r="D184" s="102" t="s">
        <v>340</v>
      </c>
      <c r="E184" s="23"/>
      <c r="F184" s="41"/>
      <c r="G184" s="26"/>
      <c r="H184" s="98"/>
      <c r="I184" s="23">
        <v>3600</v>
      </c>
      <c r="J184" s="23"/>
      <c r="K184" s="23"/>
      <c r="L184" s="23"/>
      <c r="M184" s="23"/>
      <c r="N184" s="45"/>
      <c r="O184" s="191"/>
      <c r="P184" s="50"/>
      <c r="Q184" s="189"/>
      <c r="R184" s="51"/>
      <c r="S184" s="98"/>
      <c r="T184" s="23"/>
      <c r="U184" s="169"/>
      <c r="V184" s="99"/>
      <c r="W184" s="55"/>
      <c r="X184" s="56"/>
    </row>
    <row r="185" spans="1:24" s="2" customFormat="1" ht="24.95" hidden="1" customHeight="1">
      <c r="A185" s="29"/>
      <c r="B185" s="21"/>
      <c r="C185" s="22"/>
      <c r="D185" s="102" t="s">
        <v>341</v>
      </c>
      <c r="E185" s="23"/>
      <c r="F185" s="41"/>
      <c r="G185" s="26"/>
      <c r="H185" s="98"/>
      <c r="I185" s="23">
        <v>30000</v>
      </c>
      <c r="J185" s="23"/>
      <c r="K185" s="23"/>
      <c r="L185" s="23"/>
      <c r="M185" s="23"/>
      <c r="N185" s="45"/>
      <c r="O185" s="191"/>
      <c r="P185" s="50"/>
      <c r="Q185" s="187"/>
      <c r="R185" s="51"/>
      <c r="S185" s="98"/>
      <c r="T185" s="23"/>
      <c r="U185" s="169"/>
      <c r="V185" s="99"/>
      <c r="W185" s="55"/>
      <c r="X185" s="56"/>
    </row>
    <row r="186" spans="1:24" s="2" customFormat="1" ht="24.95" hidden="1" customHeight="1">
      <c r="A186" s="29"/>
      <c r="B186" s="21"/>
      <c r="C186" s="22"/>
      <c r="D186" s="102" t="s">
        <v>342</v>
      </c>
      <c r="E186" s="23"/>
      <c r="F186" s="41"/>
      <c r="G186" s="26"/>
      <c r="H186" s="98"/>
      <c r="I186" s="23">
        <v>10000</v>
      </c>
      <c r="J186" s="23"/>
      <c r="K186" s="23"/>
      <c r="L186" s="23"/>
      <c r="M186" s="23"/>
      <c r="N186" s="45"/>
      <c r="O186" s="191"/>
      <c r="P186" s="50"/>
      <c r="Q186" s="187"/>
      <c r="R186" s="51"/>
      <c r="S186" s="98"/>
      <c r="T186" s="23"/>
      <c r="U186" s="169"/>
      <c r="V186" s="99"/>
      <c r="W186" s="55"/>
      <c r="X186" s="56"/>
    </row>
    <row r="187" spans="1:24" s="2" customFormat="1" ht="24.95" hidden="1" customHeight="1">
      <c r="A187" s="29"/>
      <c r="B187" s="21"/>
      <c r="C187" s="22"/>
      <c r="D187" s="102" t="s">
        <v>340</v>
      </c>
      <c r="E187" s="23"/>
      <c r="F187" s="41"/>
      <c r="G187" s="26"/>
      <c r="H187" s="98"/>
      <c r="I187" s="23">
        <v>3400</v>
      </c>
      <c r="J187" s="23"/>
      <c r="K187" s="23"/>
      <c r="L187" s="23"/>
      <c r="M187" s="23"/>
      <c r="N187" s="45"/>
      <c r="O187" s="191"/>
      <c r="P187" s="50"/>
      <c r="Q187" s="193"/>
      <c r="R187" s="51"/>
      <c r="S187" s="98"/>
      <c r="T187" s="23"/>
      <c r="U187" s="169"/>
      <c r="V187" s="99"/>
      <c r="W187" s="55"/>
      <c r="X187" s="56"/>
    </row>
    <row r="188" spans="1:24" s="2" customFormat="1" ht="24.95" hidden="1" customHeight="1">
      <c r="A188" s="29"/>
      <c r="B188" s="21"/>
      <c r="C188" s="22"/>
      <c r="D188" s="102" t="s">
        <v>343</v>
      </c>
      <c r="E188" s="23"/>
      <c r="F188" s="41"/>
      <c r="G188" s="26"/>
      <c r="H188" s="98"/>
      <c r="I188" s="23">
        <v>10000</v>
      </c>
      <c r="J188" s="23"/>
      <c r="K188" s="23"/>
      <c r="L188" s="23"/>
      <c r="M188" s="23"/>
      <c r="N188" s="45"/>
      <c r="O188" s="191"/>
      <c r="P188" s="50"/>
      <c r="Q188" s="193"/>
      <c r="R188" s="51"/>
      <c r="S188" s="98"/>
      <c r="T188" s="23"/>
      <c r="U188" s="169"/>
      <c r="V188" s="99"/>
      <c r="W188" s="55"/>
      <c r="X188" s="56"/>
    </row>
    <row r="189" spans="1:24" s="2" customFormat="1" ht="24.95" hidden="1" customHeight="1">
      <c r="A189" s="29"/>
      <c r="B189" s="21"/>
      <c r="C189" s="22"/>
      <c r="D189" s="102" t="s">
        <v>344</v>
      </c>
      <c r="E189" s="23"/>
      <c r="F189" s="41"/>
      <c r="G189" s="26"/>
      <c r="H189" s="98"/>
      <c r="I189" s="23">
        <v>3000</v>
      </c>
      <c r="J189" s="23"/>
      <c r="K189" s="23"/>
      <c r="L189" s="23"/>
      <c r="M189" s="23"/>
      <c r="N189" s="45"/>
      <c r="O189" s="191"/>
      <c r="P189" s="50"/>
      <c r="Q189" s="193"/>
      <c r="R189" s="51"/>
      <c r="S189" s="98"/>
      <c r="T189" s="23"/>
      <c r="U189" s="169"/>
      <c r="V189" s="99"/>
      <c r="W189" s="55"/>
      <c r="X189" s="56"/>
    </row>
    <row r="190" spans="1:24" s="2" customFormat="1" ht="24.95" hidden="1" customHeight="1">
      <c r="A190" s="29"/>
      <c r="B190" s="21"/>
      <c r="C190" s="22"/>
      <c r="D190" s="102" t="s">
        <v>345</v>
      </c>
      <c r="E190" s="23"/>
      <c r="F190" s="41"/>
      <c r="G190" s="26"/>
      <c r="H190" s="98"/>
      <c r="I190" s="23">
        <v>11000</v>
      </c>
      <c r="J190" s="23"/>
      <c r="K190" s="23"/>
      <c r="L190" s="23"/>
      <c r="M190" s="23"/>
      <c r="N190" s="45"/>
      <c r="O190" s="191"/>
      <c r="P190" s="50"/>
      <c r="Q190" s="193"/>
      <c r="R190" s="51"/>
      <c r="S190" s="98"/>
      <c r="T190" s="23"/>
      <c r="U190" s="169"/>
      <c r="V190" s="99"/>
      <c r="W190" s="55"/>
      <c r="X190" s="56"/>
    </row>
    <row r="191" spans="1:24" s="2" customFormat="1" ht="24.95" hidden="1" customHeight="1">
      <c r="A191" s="29"/>
      <c r="B191" s="21"/>
      <c r="C191" s="22"/>
      <c r="D191" s="102" t="s">
        <v>346</v>
      </c>
      <c r="E191" s="23"/>
      <c r="F191" s="41"/>
      <c r="G191" s="26"/>
      <c r="H191" s="98"/>
      <c r="I191" s="23">
        <v>11000</v>
      </c>
      <c r="J191" s="23"/>
      <c r="K191" s="23"/>
      <c r="L191" s="23"/>
      <c r="M191" s="23"/>
      <c r="N191" s="45"/>
      <c r="O191" s="191"/>
      <c r="P191" s="50"/>
      <c r="Q191" s="193"/>
      <c r="R191" s="51"/>
      <c r="S191" s="98"/>
      <c r="T191" s="23"/>
      <c r="U191" s="169"/>
      <c r="V191" s="99"/>
      <c r="W191" s="55"/>
      <c r="X191" s="56"/>
    </row>
    <row r="192" spans="1:24" s="2" customFormat="1" ht="24.95" hidden="1" customHeight="1">
      <c r="A192" s="29"/>
      <c r="B192" s="21"/>
      <c r="C192" s="22"/>
      <c r="D192" s="102" t="s">
        <v>347</v>
      </c>
      <c r="E192" s="23"/>
      <c r="F192" s="41"/>
      <c r="G192" s="26"/>
      <c r="H192" s="98"/>
      <c r="I192" s="23">
        <v>30000</v>
      </c>
      <c r="J192" s="23"/>
      <c r="K192" s="23"/>
      <c r="L192" s="23"/>
      <c r="M192" s="23"/>
      <c r="N192" s="45"/>
      <c r="O192" s="191"/>
      <c r="P192" s="50"/>
      <c r="Q192" s="193"/>
      <c r="R192" s="51"/>
      <c r="S192" s="98"/>
      <c r="T192" s="23"/>
      <c r="U192" s="169"/>
      <c r="V192" s="99"/>
      <c r="W192" s="55"/>
      <c r="X192" s="56"/>
    </row>
    <row r="193" spans="1:24" s="2" customFormat="1" ht="24.95" hidden="1" customHeight="1">
      <c r="A193" s="29"/>
      <c r="B193" s="21"/>
      <c r="C193" s="22"/>
      <c r="D193" s="102" t="s">
        <v>348</v>
      </c>
      <c r="E193" s="23"/>
      <c r="F193" s="41"/>
      <c r="G193" s="26"/>
      <c r="H193" s="98"/>
      <c r="I193" s="23">
        <v>10000</v>
      </c>
      <c r="J193" s="23"/>
      <c r="K193" s="23"/>
      <c r="L193" s="23"/>
      <c r="M193" s="23"/>
      <c r="N193" s="45"/>
      <c r="O193" s="191"/>
      <c r="P193" s="50"/>
      <c r="Q193" s="193"/>
      <c r="R193" s="51"/>
      <c r="S193" s="98"/>
      <c r="T193" s="23"/>
      <c r="U193" s="169"/>
      <c r="V193" s="99"/>
      <c r="W193" s="55"/>
      <c r="X193" s="56"/>
    </row>
    <row r="194" spans="1:24" s="2" customFormat="1" ht="24.95" hidden="1" customHeight="1">
      <c r="A194" s="29"/>
      <c r="B194" s="21"/>
      <c r="C194" s="22"/>
      <c r="D194" s="102" t="s">
        <v>349</v>
      </c>
      <c r="E194" s="23"/>
      <c r="F194" s="41"/>
      <c r="G194" s="26"/>
      <c r="H194" s="98"/>
      <c r="I194" s="23">
        <v>2000</v>
      </c>
      <c r="J194" s="23"/>
      <c r="K194" s="23"/>
      <c r="L194" s="23"/>
      <c r="M194" s="23"/>
      <c r="N194" s="45"/>
      <c r="O194" s="191"/>
      <c r="P194" s="50"/>
      <c r="Q194" s="193"/>
      <c r="R194" s="51"/>
      <c r="S194" s="98"/>
      <c r="T194" s="23"/>
      <c r="U194" s="169"/>
      <c r="V194" s="99"/>
      <c r="W194" s="55"/>
      <c r="X194" s="56"/>
    </row>
    <row r="195" spans="1:24" s="2" customFormat="1" ht="24.95" hidden="1" customHeight="1">
      <c r="A195" s="29"/>
      <c r="B195" s="21"/>
      <c r="C195" s="22"/>
      <c r="D195" s="102" t="s">
        <v>350</v>
      </c>
      <c r="E195" s="23"/>
      <c r="F195" s="41"/>
      <c r="G195" s="26"/>
      <c r="H195" s="98"/>
      <c r="I195" s="23">
        <v>3000</v>
      </c>
      <c r="J195" s="23"/>
      <c r="K195" s="23"/>
      <c r="L195" s="23"/>
      <c r="M195" s="23"/>
      <c r="N195" s="45"/>
      <c r="O195" s="191"/>
      <c r="P195" s="50"/>
      <c r="Q195" s="193"/>
      <c r="R195" s="51"/>
      <c r="S195" s="98"/>
      <c r="T195" s="23"/>
      <c r="U195" s="169"/>
      <c r="V195" s="99"/>
      <c r="W195" s="55"/>
      <c r="X195" s="56"/>
    </row>
    <row r="196" spans="1:24" s="2" customFormat="1" ht="24.95" hidden="1" customHeight="1">
      <c r="A196" s="29"/>
      <c r="B196" s="21"/>
      <c r="C196" s="22"/>
      <c r="D196" s="102" t="s">
        <v>351</v>
      </c>
      <c r="E196" s="23"/>
      <c r="F196" s="41"/>
      <c r="G196" s="26"/>
      <c r="H196" s="98"/>
      <c r="I196" s="23">
        <v>2000</v>
      </c>
      <c r="J196" s="23"/>
      <c r="K196" s="23"/>
      <c r="L196" s="23"/>
      <c r="M196" s="23"/>
      <c r="N196" s="45"/>
      <c r="O196" s="191"/>
      <c r="P196" s="50"/>
      <c r="Q196" s="193"/>
      <c r="R196" s="51"/>
      <c r="S196" s="98"/>
      <c r="T196" s="23"/>
      <c r="U196" s="169"/>
      <c r="V196" s="99"/>
      <c r="W196" s="55"/>
      <c r="X196" s="56"/>
    </row>
    <row r="197" spans="1:24" s="2" customFormat="1" ht="24.95" hidden="1" customHeight="1">
      <c r="A197" s="29"/>
      <c r="B197" s="21"/>
      <c r="C197" s="22"/>
      <c r="D197" s="102" t="s">
        <v>352</v>
      </c>
      <c r="E197" s="23"/>
      <c r="F197" s="41"/>
      <c r="G197" s="26"/>
      <c r="H197" s="98"/>
      <c r="I197" s="23">
        <v>6000</v>
      </c>
      <c r="J197" s="23"/>
      <c r="K197" s="23"/>
      <c r="L197" s="23"/>
      <c r="M197" s="23"/>
      <c r="N197" s="45"/>
      <c r="O197" s="191"/>
      <c r="P197" s="50"/>
      <c r="Q197" s="193"/>
      <c r="R197" s="51"/>
      <c r="S197" s="98"/>
      <c r="T197" s="23"/>
      <c r="U197" s="169"/>
      <c r="V197" s="99"/>
      <c r="W197" s="55"/>
      <c r="X197" s="56"/>
    </row>
    <row r="198" spans="1:24" s="2" customFormat="1" ht="24.95" hidden="1" customHeight="1">
      <c r="A198" s="29"/>
      <c r="B198" s="21"/>
      <c r="C198" s="22"/>
      <c r="D198" s="102" t="s">
        <v>353</v>
      </c>
      <c r="E198" s="23"/>
      <c r="F198" s="41"/>
      <c r="G198" s="26"/>
      <c r="H198" s="98"/>
      <c r="I198" s="47">
        <v>2000</v>
      </c>
      <c r="J198" s="23"/>
      <c r="K198" s="23"/>
      <c r="L198" s="23"/>
      <c r="M198" s="23"/>
      <c r="N198" s="45"/>
      <c r="O198" s="191"/>
      <c r="P198" s="50"/>
      <c r="Q198" s="193"/>
      <c r="R198" s="51"/>
      <c r="S198" s="98"/>
      <c r="T198" s="23"/>
      <c r="U198" s="169"/>
      <c r="V198" s="99"/>
      <c r="W198" s="55"/>
      <c r="X198" s="56"/>
    </row>
    <row r="199" spans="1:24" s="2" customFormat="1" ht="24.95" hidden="1" customHeight="1">
      <c r="A199" s="29"/>
      <c r="B199" s="21"/>
      <c r="C199" s="22"/>
      <c r="D199" s="102" t="s">
        <v>354</v>
      </c>
      <c r="E199" s="23"/>
      <c r="F199" s="41"/>
      <c r="G199" s="26"/>
      <c r="H199" s="98"/>
      <c r="I199" s="23">
        <v>10000</v>
      </c>
      <c r="J199" s="23"/>
      <c r="K199" s="23"/>
      <c r="L199" s="23"/>
      <c r="M199" s="23"/>
      <c r="N199" s="45"/>
      <c r="O199" s="191"/>
      <c r="P199" s="50"/>
      <c r="Q199" s="193"/>
      <c r="R199" s="51"/>
      <c r="S199" s="98"/>
      <c r="T199" s="23"/>
      <c r="U199" s="169"/>
      <c r="V199" s="99"/>
      <c r="W199" s="55"/>
      <c r="X199" s="56"/>
    </row>
    <row r="200" spans="1:24" s="2" customFormat="1" ht="24.95" hidden="1" customHeight="1">
      <c r="A200" s="29"/>
      <c r="B200" s="21"/>
      <c r="C200" s="22"/>
      <c r="D200" s="102" t="s">
        <v>355</v>
      </c>
      <c r="E200" s="23"/>
      <c r="F200" s="41"/>
      <c r="G200" s="26"/>
      <c r="H200" s="98"/>
      <c r="I200" s="23">
        <v>10000</v>
      </c>
      <c r="J200" s="23"/>
      <c r="K200" s="23"/>
      <c r="L200" s="23"/>
      <c r="M200" s="23"/>
      <c r="N200" s="45"/>
      <c r="O200" s="191"/>
      <c r="P200" s="50"/>
      <c r="Q200" s="193"/>
      <c r="R200" s="51"/>
      <c r="S200" s="98"/>
      <c r="T200" s="23"/>
      <c r="U200" s="169"/>
      <c r="V200" s="99"/>
      <c r="W200" s="55"/>
      <c r="X200" s="56"/>
    </row>
    <row r="201" spans="1:24" s="2" customFormat="1" ht="24.95" hidden="1" customHeight="1">
      <c r="A201" s="29"/>
      <c r="B201" s="21"/>
      <c r="C201" s="22"/>
      <c r="D201" s="102" t="s">
        <v>356</v>
      </c>
      <c r="E201" s="23"/>
      <c r="F201" s="41"/>
      <c r="G201" s="26"/>
      <c r="H201" s="98"/>
      <c r="I201" s="23">
        <v>10000</v>
      </c>
      <c r="J201" s="23"/>
      <c r="K201" s="23"/>
      <c r="L201" s="23"/>
      <c r="M201" s="23"/>
      <c r="N201" s="45"/>
      <c r="O201" s="191"/>
      <c r="P201" s="50"/>
      <c r="Q201" s="193"/>
      <c r="R201" s="51"/>
      <c r="S201" s="98"/>
      <c r="T201" s="23"/>
      <c r="U201" s="169"/>
      <c r="V201" s="99"/>
      <c r="W201" s="55"/>
      <c r="X201" s="56"/>
    </row>
    <row r="202" spans="1:24" s="2" customFormat="1" ht="24.95" hidden="1" customHeight="1">
      <c r="A202" s="29"/>
      <c r="B202" s="21"/>
      <c r="C202" s="22"/>
      <c r="D202" s="102" t="s">
        <v>357</v>
      </c>
      <c r="E202" s="23"/>
      <c r="F202" s="41"/>
      <c r="G202" s="26"/>
      <c r="H202" s="98"/>
      <c r="I202" s="23">
        <v>10000</v>
      </c>
      <c r="J202" s="23"/>
      <c r="K202" s="23"/>
      <c r="L202" s="23"/>
      <c r="M202" s="23"/>
      <c r="N202" s="45"/>
      <c r="O202" s="191"/>
      <c r="P202" s="50"/>
      <c r="Q202" s="193"/>
      <c r="R202" s="51"/>
      <c r="S202" s="98"/>
      <c r="T202" s="23"/>
      <c r="U202" s="169"/>
      <c r="V202" s="99"/>
      <c r="W202" s="55"/>
      <c r="X202" s="56"/>
    </row>
    <row r="203" spans="1:24" s="2" customFormat="1" ht="24.95" hidden="1" customHeight="1">
      <c r="A203" s="29"/>
      <c r="B203" s="21"/>
      <c r="C203" s="22"/>
      <c r="D203" s="102" t="s">
        <v>358</v>
      </c>
      <c r="E203" s="23"/>
      <c r="F203" s="41"/>
      <c r="G203" s="26"/>
      <c r="H203" s="98"/>
      <c r="I203" s="23">
        <v>10000</v>
      </c>
      <c r="J203" s="23"/>
      <c r="K203" s="23"/>
      <c r="L203" s="23"/>
      <c r="M203" s="23"/>
      <c r="N203" s="45"/>
      <c r="O203" s="191"/>
      <c r="P203" s="50"/>
      <c r="Q203" s="193"/>
      <c r="R203" s="51"/>
      <c r="S203" s="98"/>
      <c r="T203" s="23"/>
      <c r="U203" s="169"/>
      <c r="V203" s="99"/>
      <c r="W203" s="55"/>
      <c r="X203" s="56"/>
    </row>
    <row r="204" spans="1:24" s="2" customFormat="1" ht="24.95" hidden="1" customHeight="1">
      <c r="A204" s="29"/>
      <c r="B204" s="21"/>
      <c r="C204" s="22"/>
      <c r="D204" s="102" t="s">
        <v>359</v>
      </c>
      <c r="E204" s="23"/>
      <c r="F204" s="41"/>
      <c r="G204" s="26"/>
      <c r="H204" s="98"/>
      <c r="I204" s="23">
        <v>5000</v>
      </c>
      <c r="J204" s="23"/>
      <c r="K204" s="23"/>
      <c r="L204" s="23"/>
      <c r="M204" s="23"/>
      <c r="N204" s="45"/>
      <c r="O204" s="191"/>
      <c r="P204" s="50"/>
      <c r="Q204" s="193"/>
      <c r="R204" s="51"/>
      <c r="S204" s="98"/>
      <c r="T204" s="23"/>
      <c r="U204" s="169"/>
      <c r="V204" s="99"/>
      <c r="W204" s="55"/>
      <c r="X204" s="56"/>
    </row>
    <row r="205" spans="1:24" s="2" customFormat="1" ht="24.95" hidden="1" customHeight="1">
      <c r="A205" s="29"/>
      <c r="B205" s="21"/>
      <c r="C205" s="22"/>
      <c r="D205" s="102" t="s">
        <v>359</v>
      </c>
      <c r="E205" s="23"/>
      <c r="F205" s="41"/>
      <c r="G205" s="26"/>
      <c r="H205" s="98"/>
      <c r="I205" s="47">
        <v>15000</v>
      </c>
      <c r="J205" s="23"/>
      <c r="K205" s="23"/>
      <c r="L205" s="23"/>
      <c r="M205" s="23"/>
      <c r="N205" s="45"/>
      <c r="O205" s="191"/>
      <c r="P205" s="50"/>
      <c r="Q205" s="193"/>
      <c r="R205" s="51"/>
      <c r="S205" s="98"/>
      <c r="T205" s="23"/>
      <c r="U205" s="169"/>
      <c r="V205" s="99"/>
      <c r="W205" s="55"/>
      <c r="X205" s="56"/>
    </row>
    <row r="206" spans="1:24" s="2" customFormat="1" ht="24.95" hidden="1" customHeight="1">
      <c r="A206" s="29"/>
      <c r="B206" s="21"/>
      <c r="C206" s="22"/>
      <c r="D206" s="102" t="s">
        <v>360</v>
      </c>
      <c r="E206" s="23"/>
      <c r="F206" s="41"/>
      <c r="G206" s="26"/>
      <c r="H206" s="98"/>
      <c r="I206" s="47">
        <v>20000</v>
      </c>
      <c r="J206" s="23"/>
      <c r="K206" s="23"/>
      <c r="L206" s="23"/>
      <c r="M206" s="23"/>
      <c r="N206" s="45"/>
      <c r="O206" s="191"/>
      <c r="P206" s="50"/>
      <c r="Q206" s="193"/>
      <c r="R206" s="51"/>
      <c r="S206" s="98"/>
      <c r="T206" s="23"/>
      <c r="U206" s="169"/>
      <c r="V206" s="99"/>
      <c r="W206" s="55"/>
      <c r="X206" s="56"/>
    </row>
    <row r="207" spans="1:24" s="2" customFormat="1" ht="24.95" hidden="1" customHeight="1">
      <c r="A207" s="29"/>
      <c r="B207" s="21"/>
      <c r="C207" s="22"/>
      <c r="D207" s="102" t="s">
        <v>361</v>
      </c>
      <c r="E207" s="23"/>
      <c r="F207" s="41"/>
      <c r="G207" s="26"/>
      <c r="H207" s="98"/>
      <c r="I207" s="47">
        <v>30000</v>
      </c>
      <c r="J207" s="23"/>
      <c r="K207" s="23"/>
      <c r="L207" s="23"/>
      <c r="M207" s="23"/>
      <c r="N207" s="45"/>
      <c r="O207" s="191"/>
      <c r="P207" s="50"/>
      <c r="Q207" s="193"/>
      <c r="R207" s="51"/>
      <c r="S207" s="98"/>
      <c r="T207" s="23"/>
      <c r="U207" s="169"/>
      <c r="V207" s="99"/>
      <c r="W207" s="55"/>
      <c r="X207" s="56"/>
    </row>
    <row r="208" spans="1:24" s="2" customFormat="1" ht="24.95" hidden="1" customHeight="1">
      <c r="A208" s="29"/>
      <c r="B208" s="21"/>
      <c r="C208" s="22"/>
      <c r="D208" s="102" t="s">
        <v>362</v>
      </c>
      <c r="E208" s="23"/>
      <c r="F208" s="41"/>
      <c r="G208" s="26"/>
      <c r="H208" s="98"/>
      <c r="I208" s="47">
        <v>2000</v>
      </c>
      <c r="J208" s="23"/>
      <c r="K208" s="23"/>
      <c r="L208" s="23"/>
      <c r="M208" s="23"/>
      <c r="N208" s="45"/>
      <c r="O208" s="191"/>
      <c r="P208" s="50"/>
      <c r="Q208" s="193"/>
      <c r="R208" s="51"/>
      <c r="S208" s="98"/>
      <c r="T208" s="23"/>
      <c r="U208" s="169"/>
      <c r="V208" s="99"/>
      <c r="W208" s="55"/>
      <c r="X208" s="56"/>
    </row>
    <row r="209" spans="1:24" s="2" customFormat="1" ht="24.95" hidden="1" customHeight="1">
      <c r="A209" s="29"/>
      <c r="B209" s="21"/>
      <c r="C209" s="22"/>
      <c r="D209" s="102" t="s">
        <v>363</v>
      </c>
      <c r="E209" s="23"/>
      <c r="F209" s="41"/>
      <c r="G209" s="26"/>
      <c r="H209" s="98"/>
      <c r="I209" s="47">
        <v>10000</v>
      </c>
      <c r="J209" s="23"/>
      <c r="K209" s="23"/>
      <c r="L209" s="23"/>
      <c r="M209" s="23"/>
      <c r="N209" s="45"/>
      <c r="O209" s="191"/>
      <c r="P209" s="50"/>
      <c r="Q209" s="193"/>
      <c r="R209" s="51"/>
      <c r="S209" s="98"/>
      <c r="T209" s="23"/>
      <c r="U209" s="169"/>
      <c r="V209" s="99"/>
      <c r="W209" s="55"/>
      <c r="X209" s="56"/>
    </row>
    <row r="210" spans="1:24" s="2" customFormat="1" ht="24.95" hidden="1" customHeight="1">
      <c r="A210" s="29"/>
      <c r="B210" s="21"/>
      <c r="C210" s="22"/>
      <c r="D210" s="102" t="s">
        <v>364</v>
      </c>
      <c r="E210" s="23"/>
      <c r="F210" s="41"/>
      <c r="G210" s="26"/>
      <c r="H210" s="98"/>
      <c r="I210" s="47">
        <v>250000</v>
      </c>
      <c r="J210" s="23"/>
      <c r="K210" s="23"/>
      <c r="L210" s="23"/>
      <c r="M210" s="23"/>
      <c r="N210" s="45"/>
      <c r="O210" s="191"/>
      <c r="P210" s="50"/>
      <c r="Q210" s="193"/>
      <c r="R210" s="51"/>
      <c r="S210" s="98"/>
      <c r="T210" s="23"/>
      <c r="U210" s="169"/>
      <c r="V210" s="99"/>
      <c r="W210" s="55"/>
      <c r="X210" s="56"/>
    </row>
    <row r="211" spans="1:24" s="2" customFormat="1" ht="24.95" hidden="1" customHeight="1">
      <c r="A211" s="29"/>
      <c r="B211" s="21"/>
      <c r="C211" s="22"/>
      <c r="D211" s="102" t="s">
        <v>365</v>
      </c>
      <c r="E211" s="23"/>
      <c r="F211" s="41"/>
      <c r="G211" s="26"/>
      <c r="H211" s="98"/>
      <c r="I211" s="47">
        <v>20000</v>
      </c>
      <c r="J211" s="23"/>
      <c r="K211" s="23"/>
      <c r="L211" s="23"/>
      <c r="M211" s="23"/>
      <c r="N211" s="45"/>
      <c r="O211" s="191"/>
      <c r="P211" s="50"/>
      <c r="Q211" s="193"/>
      <c r="R211" s="51"/>
      <c r="S211" s="98"/>
      <c r="T211" s="23"/>
      <c r="U211" s="169"/>
      <c r="V211" s="99"/>
      <c r="W211" s="55"/>
      <c r="X211" s="56"/>
    </row>
    <row r="212" spans="1:24" s="2" customFormat="1" ht="24.95" hidden="1" customHeight="1">
      <c r="A212" s="22"/>
      <c r="B212" s="22"/>
      <c r="C212" s="22"/>
      <c r="D212" s="102" t="s">
        <v>366</v>
      </c>
      <c r="E212" s="32"/>
      <c r="F212" s="33"/>
      <c r="G212" s="104"/>
      <c r="H212" s="102"/>
      <c r="I212" s="23">
        <v>5000</v>
      </c>
      <c r="J212" s="22"/>
      <c r="K212" s="22"/>
      <c r="L212" s="22"/>
      <c r="M212" s="22"/>
      <c r="N212" s="45"/>
      <c r="O212" s="191"/>
      <c r="P212" s="50"/>
      <c r="Q212" s="193"/>
      <c r="R212" s="51"/>
      <c r="S212" s="102"/>
      <c r="T212" s="22"/>
      <c r="U212" s="126"/>
      <c r="V212" s="127"/>
      <c r="W212" s="55"/>
      <c r="X212" s="56"/>
    </row>
    <row r="213" spans="1:24" s="2" customFormat="1" ht="24.95" hidden="1" customHeight="1">
      <c r="A213" s="29"/>
      <c r="B213" s="21"/>
      <c r="C213" s="22"/>
      <c r="D213" s="102" t="s">
        <v>367</v>
      </c>
      <c r="E213" s="23"/>
      <c r="F213" s="41"/>
      <c r="G213" s="26"/>
      <c r="H213" s="98"/>
      <c r="I213" s="47">
        <v>10000</v>
      </c>
      <c r="J213" s="23"/>
      <c r="K213" s="23"/>
      <c r="L213" s="23"/>
      <c r="M213" s="23"/>
      <c r="N213" s="45"/>
      <c r="O213" s="191"/>
      <c r="P213" s="50"/>
      <c r="Q213" s="193"/>
      <c r="R213" s="51"/>
      <c r="S213" s="98"/>
      <c r="T213" s="23"/>
      <c r="U213" s="169"/>
      <c r="V213" s="99"/>
      <c r="W213" s="55"/>
      <c r="X213" s="56"/>
    </row>
    <row r="214" spans="1:24" s="2" customFormat="1" ht="24.95" hidden="1" customHeight="1">
      <c r="A214" s="29"/>
      <c r="B214" s="21"/>
      <c r="C214" s="22"/>
      <c r="D214" s="102" t="s">
        <v>368</v>
      </c>
      <c r="E214" s="23"/>
      <c r="F214" s="41"/>
      <c r="G214" s="26"/>
      <c r="H214" s="98"/>
      <c r="I214" s="47">
        <v>10000</v>
      </c>
      <c r="J214" s="23"/>
      <c r="K214" s="23"/>
      <c r="L214" s="23"/>
      <c r="M214" s="23"/>
      <c r="N214" s="45"/>
      <c r="O214" s="191"/>
      <c r="P214" s="50"/>
      <c r="Q214" s="193"/>
      <c r="R214" s="51"/>
      <c r="S214" s="98"/>
      <c r="T214" s="23"/>
      <c r="U214" s="169"/>
      <c r="V214" s="99"/>
      <c r="W214" s="55"/>
      <c r="X214" s="56"/>
    </row>
    <row r="215" spans="1:24" s="2" customFormat="1" ht="24.95" hidden="1" customHeight="1">
      <c r="A215" s="29"/>
      <c r="B215" s="21"/>
      <c r="C215" s="22"/>
      <c r="D215" s="102" t="s">
        <v>369</v>
      </c>
      <c r="E215" s="23"/>
      <c r="F215" s="41"/>
      <c r="G215" s="26"/>
      <c r="H215" s="98"/>
      <c r="I215" s="47">
        <v>30000</v>
      </c>
      <c r="J215" s="23"/>
      <c r="K215" s="23"/>
      <c r="L215" s="23"/>
      <c r="M215" s="23"/>
      <c r="N215" s="45"/>
      <c r="O215" s="191"/>
      <c r="P215" s="50"/>
      <c r="Q215" s="193"/>
      <c r="R215" s="51"/>
      <c r="S215" s="98"/>
      <c r="T215" s="23"/>
      <c r="U215" s="169"/>
      <c r="V215" s="99"/>
      <c r="W215" s="55"/>
      <c r="X215" s="56"/>
    </row>
    <row r="216" spans="1:24" s="2" customFormat="1" ht="24.95" hidden="1" customHeight="1">
      <c r="A216" s="105"/>
      <c r="B216" s="106"/>
      <c r="C216" s="107"/>
      <c r="D216" s="108" t="s">
        <v>370</v>
      </c>
      <c r="E216" s="172"/>
      <c r="F216" s="109"/>
      <c r="G216" s="110"/>
      <c r="H216" s="128"/>
      <c r="I216" s="119">
        <v>2000</v>
      </c>
      <c r="J216" s="172"/>
      <c r="K216" s="172"/>
      <c r="L216" s="172"/>
      <c r="M216" s="172"/>
      <c r="N216" s="120"/>
      <c r="O216" s="208"/>
      <c r="P216" s="121"/>
      <c r="Q216" s="193"/>
      <c r="R216" s="51"/>
      <c r="S216" s="128"/>
      <c r="T216" s="172"/>
      <c r="U216" s="129"/>
      <c r="V216" s="130"/>
      <c r="W216" s="131"/>
      <c r="X216" s="56"/>
    </row>
    <row r="217" spans="1:24" s="2" customFormat="1" ht="24.95" hidden="1" customHeight="1">
      <c r="A217" s="29"/>
      <c r="B217" s="21"/>
      <c r="C217" s="22"/>
      <c r="D217" s="102" t="s">
        <v>371</v>
      </c>
      <c r="E217" s="23"/>
      <c r="F217" s="41"/>
      <c r="G217" s="26"/>
      <c r="H217" s="98"/>
      <c r="I217" s="47">
        <v>10000</v>
      </c>
      <c r="J217" s="23"/>
      <c r="K217" s="23"/>
      <c r="L217" s="23"/>
      <c r="M217" s="23"/>
      <c r="N217" s="51"/>
      <c r="O217" s="209"/>
      <c r="P217" s="122"/>
      <c r="Q217" s="209"/>
      <c r="R217" s="51"/>
      <c r="S217" s="98"/>
      <c r="T217" s="23"/>
      <c r="U217" s="23"/>
      <c r="V217" s="98"/>
      <c r="W217" s="55"/>
      <c r="X217" s="132"/>
    </row>
    <row r="218" spans="1:24" s="2" customFormat="1" ht="24.95" hidden="1" customHeight="1">
      <c r="A218" s="111"/>
      <c r="B218" s="112"/>
      <c r="C218" s="113">
        <v>44874</v>
      </c>
      <c r="D218" s="114" t="s">
        <v>372</v>
      </c>
      <c r="E218" s="75"/>
      <c r="F218" s="115"/>
      <c r="G218" s="116"/>
      <c r="H218" s="133"/>
      <c r="I218" s="123">
        <v>8000</v>
      </c>
      <c r="J218" s="75"/>
      <c r="K218" s="75"/>
      <c r="L218" s="75"/>
      <c r="M218" s="75"/>
      <c r="N218" s="81"/>
      <c r="O218" s="193"/>
      <c r="P218" s="81"/>
      <c r="Q218" s="193"/>
      <c r="R218" s="51"/>
      <c r="S218" s="133"/>
      <c r="T218" s="75"/>
      <c r="U218" s="134"/>
      <c r="V218" s="135"/>
      <c r="W218" s="136"/>
      <c r="X218" s="132"/>
    </row>
    <row r="219" spans="1:24" s="2" customFormat="1" ht="24.95" customHeight="1">
      <c r="A219" s="111" t="s">
        <v>45</v>
      </c>
      <c r="B219" s="112"/>
      <c r="C219" s="113" t="s">
        <v>373</v>
      </c>
      <c r="D219" s="113" t="s">
        <v>374</v>
      </c>
      <c r="E219" s="75">
        <v>150000</v>
      </c>
      <c r="F219" s="115">
        <f t="shared" si="33"/>
        <v>0.85402</v>
      </c>
      <c r="G219" s="116">
        <v>113</v>
      </c>
      <c r="H219" s="133">
        <f>I219+J219</f>
        <v>128103</v>
      </c>
      <c r="I219" s="75">
        <v>0</v>
      </c>
      <c r="J219" s="75">
        <f>K219+L219</f>
        <v>128103</v>
      </c>
      <c r="K219" s="75">
        <v>0</v>
      </c>
      <c r="L219" s="75">
        <v>128103</v>
      </c>
      <c r="M219" s="75">
        <f>N219+P219</f>
        <v>297.37</v>
      </c>
      <c r="N219" s="76">
        <f>237.82+0.08</f>
        <v>237.9</v>
      </c>
      <c r="O219" s="198">
        <v>240</v>
      </c>
      <c r="P219" s="77">
        <f>59.45+0.02</f>
        <v>59.470000000000006</v>
      </c>
      <c r="Q219" s="187">
        <v>60</v>
      </c>
      <c r="R219" s="51">
        <v>0</v>
      </c>
      <c r="S219" s="133">
        <v>125600</v>
      </c>
      <c r="T219" s="75">
        <f>J219/5000*100</f>
        <v>2562.06</v>
      </c>
      <c r="U219" s="134">
        <v>2500</v>
      </c>
      <c r="V219" s="135">
        <f t="shared" ref="V219" si="35">U219*2</f>
        <v>5000</v>
      </c>
      <c r="W219" s="55">
        <f>H219-R219-S219-U219</f>
        <v>3</v>
      </c>
      <c r="X219" s="56"/>
    </row>
    <row r="220" spans="1:24" s="2" customFormat="1" ht="24.95" customHeight="1">
      <c r="A220" s="29" t="s">
        <v>46</v>
      </c>
      <c r="B220" s="21"/>
      <c r="C220" s="22" t="s">
        <v>375</v>
      </c>
      <c r="D220" s="22" t="s">
        <v>376</v>
      </c>
      <c r="E220" s="23">
        <v>600000</v>
      </c>
      <c r="F220" s="41">
        <f t="shared" si="33"/>
        <v>2.2500033333333334</v>
      </c>
      <c r="G220" s="26">
        <v>10</v>
      </c>
      <c r="H220" s="98">
        <f>I220+J220</f>
        <v>1350002</v>
      </c>
      <c r="I220" s="23">
        <f>SUM(I221:I229)</f>
        <v>1350000</v>
      </c>
      <c r="J220" s="23">
        <f>K220+L220</f>
        <v>2</v>
      </c>
      <c r="K220" s="23">
        <v>0</v>
      </c>
      <c r="L220" s="23">
        <v>2</v>
      </c>
      <c r="M220" s="23">
        <v>0</v>
      </c>
      <c r="N220" s="23">
        <v>0</v>
      </c>
      <c r="O220" s="194">
        <v>0</v>
      </c>
      <c r="P220" s="169">
        <v>0</v>
      </c>
      <c r="Q220" s="188">
        <v>0</v>
      </c>
      <c r="R220" s="23">
        <v>1323000</v>
      </c>
      <c r="S220" s="98">
        <v>0</v>
      </c>
      <c r="T220" s="23">
        <v>27000</v>
      </c>
      <c r="U220" s="85">
        <v>27000</v>
      </c>
      <c r="V220" s="99">
        <v>0</v>
      </c>
      <c r="W220" s="55">
        <f>H220-R220-S220-U220</f>
        <v>2</v>
      </c>
      <c r="X220" s="56"/>
    </row>
    <row r="221" spans="1:24" s="2" customFormat="1" ht="24.95" hidden="1" customHeight="1">
      <c r="A221" s="29"/>
      <c r="B221" s="117">
        <v>44727</v>
      </c>
      <c r="C221" s="118"/>
      <c r="D221" s="22" t="s">
        <v>377</v>
      </c>
      <c r="E221" s="23"/>
      <c r="F221" s="41"/>
      <c r="G221" s="26"/>
      <c r="H221" s="98"/>
      <c r="I221" s="23">
        <v>100000</v>
      </c>
      <c r="J221" s="23"/>
      <c r="K221" s="23"/>
      <c r="L221" s="23"/>
      <c r="M221" s="23"/>
      <c r="N221" s="45"/>
      <c r="O221" s="191"/>
      <c r="P221" s="50"/>
      <c r="Q221" s="188"/>
      <c r="R221" s="51"/>
      <c r="S221" s="98"/>
      <c r="T221" s="23"/>
      <c r="U221" s="169"/>
      <c r="V221" s="99"/>
      <c r="W221" s="55"/>
      <c r="X221" s="56"/>
    </row>
    <row r="222" spans="1:24" s="2" customFormat="1" ht="24.95" hidden="1" customHeight="1">
      <c r="A222" s="29"/>
      <c r="B222" s="117">
        <v>44720</v>
      </c>
      <c r="C222" s="118"/>
      <c r="D222" s="22" t="s">
        <v>378</v>
      </c>
      <c r="E222" s="23"/>
      <c r="F222" s="41"/>
      <c r="G222" s="26"/>
      <c r="H222" s="98"/>
      <c r="I222" s="23">
        <v>250000</v>
      </c>
      <c r="J222" s="23"/>
      <c r="K222" s="23"/>
      <c r="L222" s="23"/>
      <c r="M222" s="23"/>
      <c r="N222" s="45"/>
      <c r="O222" s="191"/>
      <c r="P222" s="50"/>
      <c r="Q222" s="188"/>
      <c r="R222" s="51"/>
      <c r="S222" s="98"/>
      <c r="T222" s="23"/>
      <c r="U222" s="169"/>
      <c r="V222" s="99"/>
      <c r="W222" s="55"/>
      <c r="X222" s="56"/>
    </row>
    <row r="223" spans="1:24" s="2" customFormat="1" ht="24.95" hidden="1" customHeight="1">
      <c r="A223" s="29"/>
      <c r="B223" s="117">
        <v>44719</v>
      </c>
      <c r="C223" s="118"/>
      <c r="D223" s="22" t="s">
        <v>379</v>
      </c>
      <c r="E223" s="23"/>
      <c r="F223" s="41"/>
      <c r="G223" s="26"/>
      <c r="H223" s="98"/>
      <c r="I223" s="23">
        <v>250000</v>
      </c>
      <c r="J223" s="23"/>
      <c r="K223" s="23"/>
      <c r="L223" s="23"/>
      <c r="M223" s="23"/>
      <c r="N223" s="45"/>
      <c r="O223" s="191"/>
      <c r="P223" s="50"/>
      <c r="Q223" s="188"/>
      <c r="R223" s="51"/>
      <c r="S223" s="98"/>
      <c r="T223" s="23"/>
      <c r="U223" s="169"/>
      <c r="V223" s="99"/>
      <c r="W223" s="55"/>
      <c r="X223" s="56"/>
    </row>
    <row r="224" spans="1:24" s="2" customFormat="1" ht="24.95" hidden="1" customHeight="1">
      <c r="A224" s="29"/>
      <c r="B224" s="117">
        <v>44713</v>
      </c>
      <c r="C224" s="118"/>
      <c r="D224" s="22" t="s">
        <v>380</v>
      </c>
      <c r="E224" s="23"/>
      <c r="F224" s="41"/>
      <c r="G224" s="26"/>
      <c r="H224" s="98"/>
      <c r="I224" s="23">
        <v>100000</v>
      </c>
      <c r="J224" s="23"/>
      <c r="K224" s="23"/>
      <c r="L224" s="23"/>
      <c r="M224" s="23"/>
      <c r="N224" s="45"/>
      <c r="O224" s="191"/>
      <c r="P224" s="50"/>
      <c r="Q224" s="188"/>
      <c r="R224" s="51"/>
      <c r="S224" s="98"/>
      <c r="T224" s="23"/>
      <c r="U224" s="169"/>
      <c r="V224" s="99"/>
      <c r="W224" s="55"/>
      <c r="X224" s="56"/>
    </row>
    <row r="225" spans="1:24" s="2" customFormat="1" ht="24.95" hidden="1" customHeight="1">
      <c r="A225" s="29"/>
      <c r="B225" s="117">
        <v>44653</v>
      </c>
      <c r="C225" s="22"/>
      <c r="D225" s="22" t="s">
        <v>381</v>
      </c>
      <c r="E225" s="23"/>
      <c r="F225" s="41"/>
      <c r="G225" s="26"/>
      <c r="H225" s="98"/>
      <c r="I225" s="23">
        <v>72500</v>
      </c>
      <c r="J225" s="23"/>
      <c r="K225" s="23"/>
      <c r="L225" s="23"/>
      <c r="M225" s="23"/>
      <c r="N225" s="45"/>
      <c r="O225" s="191"/>
      <c r="P225" s="50"/>
      <c r="Q225" s="188"/>
      <c r="R225" s="51"/>
      <c r="S225" s="98"/>
      <c r="T225" s="23"/>
      <c r="U225" s="169"/>
      <c r="V225" s="99"/>
      <c r="W225" s="55"/>
      <c r="X225" s="56"/>
    </row>
    <row r="226" spans="1:24" s="2" customFormat="1" ht="24.95" hidden="1" customHeight="1">
      <c r="A226" s="29"/>
      <c r="B226" s="117">
        <v>44652</v>
      </c>
      <c r="C226" s="22"/>
      <c r="D226" s="22" t="s">
        <v>382</v>
      </c>
      <c r="E226" s="23"/>
      <c r="F226" s="41"/>
      <c r="G226" s="26"/>
      <c r="H226" s="98"/>
      <c r="I226" s="23">
        <v>300000</v>
      </c>
      <c r="J226" s="23"/>
      <c r="K226" s="23"/>
      <c r="L226" s="23"/>
      <c r="M226" s="23"/>
      <c r="N226" s="45"/>
      <c r="O226" s="191"/>
      <c r="P226" s="50"/>
      <c r="Q226" s="188"/>
      <c r="R226" s="51"/>
      <c r="S226" s="98"/>
      <c r="T226" s="23"/>
      <c r="U226" s="169"/>
      <c r="V226" s="99"/>
      <c r="W226" s="55"/>
      <c r="X226" s="56"/>
    </row>
    <row r="227" spans="1:24" s="2" customFormat="1" ht="24.95" hidden="1" customHeight="1">
      <c r="A227" s="29"/>
      <c r="B227" s="117">
        <v>44651</v>
      </c>
      <c r="C227" s="22"/>
      <c r="D227" s="22" t="s">
        <v>383</v>
      </c>
      <c r="E227" s="23"/>
      <c r="F227" s="41"/>
      <c r="G227" s="26"/>
      <c r="H227" s="98"/>
      <c r="I227" s="23">
        <v>77500</v>
      </c>
      <c r="J227" s="23"/>
      <c r="K227" s="23"/>
      <c r="L227" s="23"/>
      <c r="M227" s="23"/>
      <c r="N227" s="45"/>
      <c r="O227" s="191"/>
      <c r="P227" s="50"/>
      <c r="Q227" s="188"/>
      <c r="R227" s="51"/>
      <c r="S227" s="98"/>
      <c r="T227" s="23"/>
      <c r="U227" s="169"/>
      <c r="V227" s="99"/>
      <c r="W227" s="55"/>
      <c r="X227" s="56"/>
    </row>
    <row r="228" spans="1:24" s="2" customFormat="1" ht="24.95" hidden="1" customHeight="1">
      <c r="A228" s="29"/>
      <c r="B228" s="117">
        <v>44648</v>
      </c>
      <c r="C228" s="22"/>
      <c r="D228" s="22" t="s">
        <v>384</v>
      </c>
      <c r="E228" s="23"/>
      <c r="F228" s="41"/>
      <c r="G228" s="26"/>
      <c r="H228" s="98"/>
      <c r="I228" s="23">
        <v>150000</v>
      </c>
      <c r="J228" s="23"/>
      <c r="K228" s="23"/>
      <c r="L228" s="23"/>
      <c r="M228" s="23"/>
      <c r="N228" s="45"/>
      <c r="O228" s="191"/>
      <c r="P228" s="50"/>
      <c r="Q228" s="188"/>
      <c r="R228" s="51"/>
      <c r="S228" s="98"/>
      <c r="T228" s="23"/>
      <c r="U228" s="169"/>
      <c r="V228" s="99"/>
      <c r="W228" s="55"/>
      <c r="X228" s="56"/>
    </row>
    <row r="229" spans="1:24" s="2" customFormat="1" ht="24.95" hidden="1" customHeight="1">
      <c r="A229" s="29"/>
      <c r="B229" s="117">
        <v>44645</v>
      </c>
      <c r="C229" s="22"/>
      <c r="D229" s="22" t="s">
        <v>385</v>
      </c>
      <c r="E229" s="23"/>
      <c r="F229" s="41"/>
      <c r="G229" s="26"/>
      <c r="H229" s="98"/>
      <c r="I229" s="23">
        <v>50000</v>
      </c>
      <c r="J229" s="23"/>
      <c r="K229" s="23"/>
      <c r="L229" s="23"/>
      <c r="M229" s="23"/>
      <c r="N229" s="45"/>
      <c r="O229" s="191"/>
      <c r="P229" s="50"/>
      <c r="Q229" s="188"/>
      <c r="R229" s="51"/>
      <c r="S229" s="98"/>
      <c r="T229" s="23"/>
      <c r="U229" s="169"/>
      <c r="V229" s="99"/>
      <c r="W229" s="55"/>
      <c r="X229" s="56"/>
    </row>
    <row r="230" spans="1:24" s="2" customFormat="1" ht="24.95" customHeight="1">
      <c r="A230" s="29" t="s">
        <v>47</v>
      </c>
      <c r="B230" s="21"/>
      <c r="C230" s="22" t="s">
        <v>386</v>
      </c>
      <c r="D230" s="22" t="s">
        <v>387</v>
      </c>
      <c r="E230" s="23">
        <v>150000</v>
      </c>
      <c r="F230" s="41">
        <f t="shared" si="33"/>
        <v>0.83202666666666669</v>
      </c>
      <c r="G230" s="26">
        <v>93</v>
      </c>
      <c r="H230" s="98">
        <f>I230+J230</f>
        <v>124804</v>
      </c>
      <c r="I230" s="23">
        <f>SUM(I231:I241)</f>
        <v>110000</v>
      </c>
      <c r="J230" s="23">
        <f>K230+L230</f>
        <v>14804</v>
      </c>
      <c r="K230" s="23">
        <v>0</v>
      </c>
      <c r="L230" s="23">
        <v>14804</v>
      </c>
      <c r="M230" s="23">
        <f>N230+P230</f>
        <v>715.02</v>
      </c>
      <c r="N230" s="45">
        <v>572.02</v>
      </c>
      <c r="O230" s="191">
        <v>580</v>
      </c>
      <c r="P230" s="50">
        <v>143</v>
      </c>
      <c r="Q230" s="188">
        <v>140</v>
      </c>
      <c r="R230" s="51">
        <v>0</v>
      </c>
      <c r="S230" s="98">
        <v>124600</v>
      </c>
      <c r="T230" s="23">
        <f>J230/5000*100</f>
        <v>296.08</v>
      </c>
      <c r="U230" s="169">
        <v>200</v>
      </c>
      <c r="V230" s="99">
        <f t="shared" ref="V230" si="36">U230*2</f>
        <v>400</v>
      </c>
      <c r="W230" s="55">
        <f>H230-R230-S230-U230</f>
        <v>4</v>
      </c>
      <c r="X230" s="56"/>
    </row>
    <row r="231" spans="1:24" s="2" customFormat="1" ht="24.95" hidden="1" customHeight="1">
      <c r="A231" s="29"/>
      <c r="B231" s="21"/>
      <c r="C231" s="22"/>
      <c r="D231" s="22" t="s">
        <v>388</v>
      </c>
      <c r="E231" s="23"/>
      <c r="F231" s="41"/>
      <c r="G231" s="26"/>
      <c r="H231" s="98"/>
      <c r="I231" s="23">
        <v>10000</v>
      </c>
      <c r="J231" s="23"/>
      <c r="K231" s="23"/>
      <c r="L231" s="23"/>
      <c r="M231" s="23"/>
      <c r="N231" s="45"/>
      <c r="O231" s="191"/>
      <c r="P231" s="50"/>
      <c r="Q231" s="188"/>
      <c r="R231" s="51"/>
      <c r="S231" s="98"/>
      <c r="T231" s="23"/>
      <c r="U231" s="169"/>
      <c r="V231" s="99"/>
      <c r="W231" s="55"/>
      <c r="X231" s="56"/>
    </row>
    <row r="232" spans="1:24" s="2" customFormat="1" ht="24.95" hidden="1" customHeight="1">
      <c r="A232" s="29"/>
      <c r="B232" s="21"/>
      <c r="C232" s="22"/>
      <c r="D232" s="22" t="s">
        <v>389</v>
      </c>
      <c r="E232" s="23"/>
      <c r="F232" s="41"/>
      <c r="G232" s="26"/>
      <c r="H232" s="98"/>
      <c r="I232" s="23">
        <v>10000</v>
      </c>
      <c r="J232" s="23"/>
      <c r="K232" s="23"/>
      <c r="L232" s="23"/>
      <c r="M232" s="23"/>
      <c r="N232" s="45"/>
      <c r="O232" s="191"/>
      <c r="P232" s="50"/>
      <c r="Q232" s="188"/>
      <c r="R232" s="51"/>
      <c r="S232" s="98"/>
      <c r="T232" s="23"/>
      <c r="U232" s="169"/>
      <c r="V232" s="99"/>
      <c r="W232" s="55"/>
      <c r="X232" s="56"/>
    </row>
    <row r="233" spans="1:24" s="2" customFormat="1" ht="24.95" hidden="1" customHeight="1">
      <c r="A233" s="29"/>
      <c r="B233" s="21"/>
      <c r="C233" s="22"/>
      <c r="D233" s="22" t="s">
        <v>390</v>
      </c>
      <c r="E233" s="23"/>
      <c r="F233" s="41"/>
      <c r="G233" s="26"/>
      <c r="H233" s="98"/>
      <c r="I233" s="23">
        <v>10000</v>
      </c>
      <c r="J233" s="23"/>
      <c r="K233" s="23"/>
      <c r="L233" s="23"/>
      <c r="M233" s="23"/>
      <c r="N233" s="45"/>
      <c r="O233" s="191"/>
      <c r="P233" s="50"/>
      <c r="Q233" s="188"/>
      <c r="R233" s="51"/>
      <c r="S233" s="98"/>
      <c r="T233" s="23"/>
      <c r="U233" s="169"/>
      <c r="V233" s="99"/>
      <c r="W233" s="55"/>
      <c r="X233" s="56"/>
    </row>
    <row r="234" spans="1:24" s="2" customFormat="1" ht="24.95" hidden="1" customHeight="1">
      <c r="A234" s="29"/>
      <c r="B234" s="21"/>
      <c r="C234" s="22"/>
      <c r="D234" s="22" t="s">
        <v>391</v>
      </c>
      <c r="E234" s="23"/>
      <c r="F234" s="41"/>
      <c r="G234" s="26"/>
      <c r="H234" s="98"/>
      <c r="I234" s="23">
        <v>10000</v>
      </c>
      <c r="J234" s="23"/>
      <c r="K234" s="23"/>
      <c r="L234" s="23"/>
      <c r="M234" s="23"/>
      <c r="N234" s="45"/>
      <c r="O234" s="191"/>
      <c r="P234" s="50"/>
      <c r="Q234" s="187"/>
      <c r="R234" s="51"/>
      <c r="S234" s="98"/>
      <c r="T234" s="23"/>
      <c r="U234" s="169"/>
      <c r="V234" s="99"/>
      <c r="W234" s="55"/>
      <c r="X234" s="56"/>
    </row>
    <row r="235" spans="1:24" s="2" customFormat="1" ht="24.95" hidden="1" customHeight="1">
      <c r="A235" s="29"/>
      <c r="B235" s="21"/>
      <c r="C235" s="22"/>
      <c r="D235" s="22" t="s">
        <v>392</v>
      </c>
      <c r="E235" s="23"/>
      <c r="F235" s="41"/>
      <c r="G235" s="26"/>
      <c r="H235" s="98"/>
      <c r="I235" s="23">
        <v>10000</v>
      </c>
      <c r="J235" s="23"/>
      <c r="K235" s="23"/>
      <c r="L235" s="23"/>
      <c r="M235" s="23"/>
      <c r="N235" s="45"/>
      <c r="O235" s="191"/>
      <c r="P235" s="50"/>
      <c r="Q235" s="188"/>
      <c r="R235" s="51"/>
      <c r="S235" s="98"/>
      <c r="T235" s="23"/>
      <c r="U235" s="169"/>
      <c r="V235" s="99"/>
      <c r="W235" s="55"/>
      <c r="X235" s="56"/>
    </row>
    <row r="236" spans="1:24" s="2" customFormat="1" ht="24.95" hidden="1" customHeight="1">
      <c r="A236" s="29"/>
      <c r="B236" s="21"/>
      <c r="C236" s="22"/>
      <c r="D236" s="22" t="s">
        <v>393</v>
      </c>
      <c r="E236" s="23"/>
      <c r="F236" s="41"/>
      <c r="G236" s="26"/>
      <c r="H236" s="98"/>
      <c r="I236" s="23">
        <v>10000</v>
      </c>
      <c r="J236" s="23"/>
      <c r="K236" s="23"/>
      <c r="L236" s="23"/>
      <c r="M236" s="23"/>
      <c r="N236" s="45"/>
      <c r="O236" s="191"/>
      <c r="P236" s="50"/>
      <c r="Q236" s="187"/>
      <c r="R236" s="51"/>
      <c r="S236" s="98"/>
      <c r="T236" s="23"/>
      <c r="U236" s="169"/>
      <c r="V236" s="99"/>
      <c r="W236" s="55"/>
      <c r="X236" s="56"/>
    </row>
    <row r="237" spans="1:24" s="2" customFormat="1" ht="24.95" hidden="1" customHeight="1">
      <c r="A237" s="29"/>
      <c r="B237" s="21"/>
      <c r="C237" s="22"/>
      <c r="D237" s="22" t="s">
        <v>394</v>
      </c>
      <c r="E237" s="23"/>
      <c r="F237" s="41"/>
      <c r="G237" s="26"/>
      <c r="H237" s="98"/>
      <c r="I237" s="23">
        <v>10000</v>
      </c>
      <c r="J237" s="23"/>
      <c r="K237" s="23"/>
      <c r="L237" s="23"/>
      <c r="M237" s="23"/>
      <c r="N237" s="45"/>
      <c r="O237" s="191"/>
      <c r="P237" s="50"/>
      <c r="Q237" s="186"/>
      <c r="R237" s="51"/>
      <c r="S237" s="98"/>
      <c r="T237" s="23"/>
      <c r="U237" s="169"/>
      <c r="V237" s="99"/>
      <c r="W237" s="55"/>
      <c r="X237" s="56"/>
    </row>
    <row r="238" spans="1:24" s="2" customFormat="1" ht="24.95" hidden="1" customHeight="1">
      <c r="A238" s="29"/>
      <c r="B238" s="21"/>
      <c r="C238" s="22"/>
      <c r="D238" s="22" t="s">
        <v>395</v>
      </c>
      <c r="E238" s="23"/>
      <c r="F238" s="41"/>
      <c r="G238" s="26"/>
      <c r="H238" s="98"/>
      <c r="I238" s="23">
        <v>10000</v>
      </c>
      <c r="J238" s="23"/>
      <c r="K238" s="23"/>
      <c r="L238" s="23"/>
      <c r="M238" s="23"/>
      <c r="N238" s="45"/>
      <c r="O238" s="191"/>
      <c r="P238" s="50"/>
      <c r="Q238" s="186"/>
      <c r="R238" s="51"/>
      <c r="S238" s="98"/>
      <c r="T238" s="23"/>
      <c r="U238" s="169"/>
      <c r="V238" s="99"/>
      <c r="W238" s="55"/>
      <c r="X238" s="56"/>
    </row>
    <row r="239" spans="1:24" s="2" customFormat="1" ht="24.95" hidden="1" customHeight="1">
      <c r="A239" s="29"/>
      <c r="B239" s="21"/>
      <c r="C239" s="22"/>
      <c r="D239" s="22" t="s">
        <v>396</v>
      </c>
      <c r="E239" s="23"/>
      <c r="F239" s="41"/>
      <c r="G239" s="26"/>
      <c r="H239" s="98"/>
      <c r="I239" s="23">
        <v>10000</v>
      </c>
      <c r="J239" s="23"/>
      <c r="K239" s="23"/>
      <c r="L239" s="23"/>
      <c r="M239" s="23"/>
      <c r="N239" s="45"/>
      <c r="O239" s="191"/>
      <c r="P239" s="50"/>
      <c r="Q239" s="189"/>
      <c r="R239" s="51"/>
      <c r="S239" s="98"/>
      <c r="T239" s="23"/>
      <c r="U239" s="169"/>
      <c r="V239" s="99"/>
      <c r="W239" s="55"/>
      <c r="X239" s="56"/>
    </row>
    <row r="240" spans="1:24" s="2" customFormat="1" ht="24.95" hidden="1" customHeight="1">
      <c r="A240" s="29"/>
      <c r="B240" s="21"/>
      <c r="C240" s="22"/>
      <c r="D240" s="22" t="s">
        <v>397</v>
      </c>
      <c r="E240" s="23"/>
      <c r="F240" s="41"/>
      <c r="G240" s="26"/>
      <c r="H240" s="98"/>
      <c r="I240" s="23">
        <v>10000</v>
      </c>
      <c r="J240" s="23"/>
      <c r="K240" s="23"/>
      <c r="L240" s="23"/>
      <c r="M240" s="23"/>
      <c r="N240" s="45"/>
      <c r="O240" s="191"/>
      <c r="P240" s="50"/>
      <c r="Q240" s="187"/>
      <c r="R240" s="51"/>
      <c r="S240" s="98"/>
      <c r="T240" s="23"/>
      <c r="U240" s="169"/>
      <c r="V240" s="99"/>
      <c r="W240" s="55"/>
      <c r="X240" s="56"/>
    </row>
    <row r="241" spans="1:24" s="2" customFormat="1" ht="24.95" hidden="1" customHeight="1">
      <c r="A241" s="29"/>
      <c r="B241" s="21"/>
      <c r="C241" s="22"/>
      <c r="D241" s="22" t="s">
        <v>398</v>
      </c>
      <c r="E241" s="23"/>
      <c r="F241" s="41"/>
      <c r="G241" s="26"/>
      <c r="H241" s="98"/>
      <c r="I241" s="23">
        <v>10000</v>
      </c>
      <c r="J241" s="23"/>
      <c r="K241" s="23"/>
      <c r="L241" s="23"/>
      <c r="M241" s="23"/>
      <c r="N241" s="45"/>
      <c r="O241" s="191"/>
      <c r="P241" s="50"/>
      <c r="Q241" s="187"/>
      <c r="R241" s="51"/>
      <c r="S241" s="98"/>
      <c r="T241" s="23"/>
      <c r="U241" s="169"/>
      <c r="V241" s="99"/>
      <c r="W241" s="55"/>
      <c r="X241" s="56"/>
    </row>
    <row r="242" spans="1:24" s="2" customFormat="1" ht="24.95" customHeight="1">
      <c r="A242" s="29" t="s">
        <v>48</v>
      </c>
      <c r="B242" s="21"/>
      <c r="C242" s="22" t="s">
        <v>399</v>
      </c>
      <c r="D242" s="22" t="s">
        <v>400</v>
      </c>
      <c r="E242" s="23">
        <v>150000</v>
      </c>
      <c r="F242" s="41">
        <f t="shared" si="33"/>
        <v>0.66746873333333334</v>
      </c>
      <c r="G242" s="26">
        <v>68</v>
      </c>
      <c r="H242" s="98">
        <f>I242+J242</f>
        <v>100120.31</v>
      </c>
      <c r="I242" s="23">
        <f>SUM(I243:I253)</f>
        <v>93000</v>
      </c>
      <c r="J242" s="23">
        <f>K242+L242</f>
        <v>7120.31</v>
      </c>
      <c r="K242" s="23">
        <v>0</v>
      </c>
      <c r="L242" s="23">
        <v>7120.31</v>
      </c>
      <c r="M242" s="23">
        <f>N242+P242</f>
        <v>24.25</v>
      </c>
      <c r="N242" s="45">
        <v>19.399999999999999</v>
      </c>
      <c r="O242" s="191">
        <v>0</v>
      </c>
      <c r="P242" s="50">
        <v>4.8499999999999996</v>
      </c>
      <c r="Q242" s="191">
        <v>0</v>
      </c>
      <c r="R242" s="51">
        <v>0</v>
      </c>
      <c r="S242" s="98">
        <v>100000</v>
      </c>
      <c r="T242" s="23">
        <f>J242/5000*100</f>
        <v>142.40620000000001</v>
      </c>
      <c r="U242" s="169">
        <v>100</v>
      </c>
      <c r="V242" s="99">
        <f t="shared" ref="V242" si="37">U242*2</f>
        <v>200</v>
      </c>
      <c r="W242" s="55">
        <f>H242-R242-S242-U242</f>
        <v>20.309999999997672</v>
      </c>
      <c r="X242" s="56"/>
    </row>
    <row r="243" spans="1:24" s="2" customFormat="1" ht="24.95" hidden="1" customHeight="1">
      <c r="A243" s="29"/>
      <c r="B243" s="21"/>
      <c r="C243" s="22"/>
      <c r="D243" s="22" t="s">
        <v>401</v>
      </c>
      <c r="E243" s="23"/>
      <c r="F243" s="41"/>
      <c r="G243" s="26"/>
      <c r="H243" s="98"/>
      <c r="I243" s="23">
        <v>10000</v>
      </c>
      <c r="J243" s="23"/>
      <c r="K243" s="23"/>
      <c r="L243" s="23"/>
      <c r="M243" s="23"/>
      <c r="N243" s="45"/>
      <c r="O243" s="191"/>
      <c r="P243" s="50"/>
      <c r="Q243" s="191"/>
      <c r="R243" s="51"/>
      <c r="S243" s="98"/>
      <c r="T243" s="23"/>
      <c r="U243" s="169"/>
      <c r="V243" s="99"/>
      <c r="W243" s="55"/>
      <c r="X243" s="56"/>
    </row>
    <row r="244" spans="1:24" s="2" customFormat="1" ht="24.95" hidden="1" customHeight="1">
      <c r="A244" s="29"/>
      <c r="B244" s="21"/>
      <c r="C244" s="22"/>
      <c r="D244" s="22" t="s">
        <v>402</v>
      </c>
      <c r="E244" s="23"/>
      <c r="F244" s="41"/>
      <c r="G244" s="26"/>
      <c r="H244" s="98"/>
      <c r="I244" s="23">
        <v>10000</v>
      </c>
      <c r="J244" s="23"/>
      <c r="K244" s="23"/>
      <c r="L244" s="23"/>
      <c r="M244" s="23"/>
      <c r="N244" s="45"/>
      <c r="O244" s="191"/>
      <c r="P244" s="50"/>
      <c r="Q244" s="191"/>
      <c r="R244" s="51"/>
      <c r="S244" s="98"/>
      <c r="T244" s="23"/>
      <c r="U244" s="169"/>
      <c r="V244" s="99"/>
      <c r="W244" s="55"/>
      <c r="X244" s="56"/>
    </row>
    <row r="245" spans="1:24" s="2" customFormat="1" ht="24.95" hidden="1" customHeight="1">
      <c r="A245" s="29"/>
      <c r="B245" s="21"/>
      <c r="C245" s="22"/>
      <c r="D245" s="22" t="s">
        <v>403</v>
      </c>
      <c r="E245" s="23"/>
      <c r="F245" s="41"/>
      <c r="G245" s="26"/>
      <c r="H245" s="98"/>
      <c r="I245" s="23">
        <v>10000</v>
      </c>
      <c r="J245" s="23"/>
      <c r="K245" s="23"/>
      <c r="L245" s="23"/>
      <c r="M245" s="23"/>
      <c r="N245" s="45"/>
      <c r="O245" s="191"/>
      <c r="P245" s="50"/>
      <c r="Q245" s="191"/>
      <c r="R245" s="51"/>
      <c r="S245" s="98"/>
      <c r="T245" s="23"/>
      <c r="U245" s="169"/>
      <c r="V245" s="99"/>
      <c r="W245" s="55"/>
      <c r="X245" s="56"/>
    </row>
    <row r="246" spans="1:24" s="2" customFormat="1" ht="24.95" hidden="1" customHeight="1">
      <c r="A246" s="29"/>
      <c r="B246" s="21"/>
      <c r="C246" s="22"/>
      <c r="D246" s="22" t="s">
        <v>404</v>
      </c>
      <c r="E246" s="23"/>
      <c r="F246" s="41"/>
      <c r="G246" s="26"/>
      <c r="H246" s="98"/>
      <c r="I246" s="23">
        <v>10000</v>
      </c>
      <c r="J246" s="23"/>
      <c r="K246" s="23"/>
      <c r="L246" s="23"/>
      <c r="M246" s="23"/>
      <c r="N246" s="45"/>
      <c r="O246" s="191"/>
      <c r="P246" s="50"/>
      <c r="Q246" s="191"/>
      <c r="R246" s="51"/>
      <c r="S246" s="98"/>
      <c r="T246" s="23"/>
      <c r="U246" s="169"/>
      <c r="V246" s="99"/>
      <c r="W246" s="55"/>
      <c r="X246" s="56"/>
    </row>
    <row r="247" spans="1:24" s="2" customFormat="1" ht="24.95" hidden="1" customHeight="1">
      <c r="A247" s="29"/>
      <c r="B247" s="21"/>
      <c r="C247" s="22"/>
      <c r="D247" s="22" t="s">
        <v>405</v>
      </c>
      <c r="E247" s="23"/>
      <c r="F247" s="41"/>
      <c r="G247" s="26"/>
      <c r="H247" s="98"/>
      <c r="I247" s="23">
        <v>10000</v>
      </c>
      <c r="J247" s="23"/>
      <c r="K247" s="23"/>
      <c r="L247" s="23"/>
      <c r="M247" s="23"/>
      <c r="N247" s="45"/>
      <c r="O247" s="191"/>
      <c r="P247" s="50"/>
      <c r="Q247" s="191"/>
      <c r="R247" s="51"/>
      <c r="S247" s="98"/>
      <c r="T247" s="23"/>
      <c r="U247" s="169"/>
      <c r="V247" s="99"/>
      <c r="W247" s="55"/>
      <c r="X247" s="56"/>
    </row>
    <row r="248" spans="1:24" s="2" customFormat="1" ht="24.95" hidden="1" customHeight="1">
      <c r="A248" s="29"/>
      <c r="B248" s="21"/>
      <c r="C248" s="22"/>
      <c r="D248" s="22" t="s">
        <v>406</v>
      </c>
      <c r="E248" s="23"/>
      <c r="F248" s="41"/>
      <c r="G248" s="26"/>
      <c r="H248" s="98"/>
      <c r="I248" s="23">
        <v>10000</v>
      </c>
      <c r="J248" s="23"/>
      <c r="K248" s="23"/>
      <c r="L248" s="23"/>
      <c r="M248" s="23"/>
      <c r="N248" s="45"/>
      <c r="O248" s="191"/>
      <c r="P248" s="50"/>
      <c r="Q248" s="191"/>
      <c r="R248" s="51"/>
      <c r="S248" s="98"/>
      <c r="T248" s="23"/>
      <c r="U248" s="169"/>
      <c r="V248" s="99"/>
      <c r="W248" s="55"/>
      <c r="X248" s="56"/>
    </row>
    <row r="249" spans="1:24" s="2" customFormat="1" ht="24.95" hidden="1" customHeight="1">
      <c r="A249" s="29"/>
      <c r="B249" s="21"/>
      <c r="C249" s="22"/>
      <c r="D249" s="22" t="s">
        <v>407</v>
      </c>
      <c r="E249" s="23"/>
      <c r="F249" s="41"/>
      <c r="G249" s="26"/>
      <c r="H249" s="98"/>
      <c r="I249" s="23">
        <v>10000</v>
      </c>
      <c r="J249" s="23"/>
      <c r="K249" s="23"/>
      <c r="L249" s="23"/>
      <c r="M249" s="23"/>
      <c r="N249" s="45"/>
      <c r="O249" s="191"/>
      <c r="P249" s="50"/>
      <c r="Q249" s="191"/>
      <c r="R249" s="51"/>
      <c r="S249" s="98"/>
      <c r="T249" s="23"/>
      <c r="U249" s="169"/>
      <c r="V249" s="99"/>
      <c r="W249" s="55"/>
      <c r="X249" s="56"/>
    </row>
    <row r="250" spans="1:24" s="2" customFormat="1" ht="24.95" hidden="1" customHeight="1">
      <c r="A250" s="29"/>
      <c r="B250" s="21"/>
      <c r="C250" s="22"/>
      <c r="D250" s="22" t="s">
        <v>408</v>
      </c>
      <c r="E250" s="23"/>
      <c r="F250" s="41"/>
      <c r="G250" s="26"/>
      <c r="H250" s="98"/>
      <c r="I250" s="23">
        <v>6750</v>
      </c>
      <c r="J250" s="23"/>
      <c r="K250" s="23"/>
      <c r="L250" s="23"/>
      <c r="M250" s="23"/>
      <c r="N250" s="45"/>
      <c r="O250" s="191"/>
      <c r="P250" s="50"/>
      <c r="Q250" s="191"/>
      <c r="R250" s="51"/>
      <c r="S250" s="98"/>
      <c r="T250" s="23"/>
      <c r="U250" s="169"/>
      <c r="V250" s="99"/>
      <c r="W250" s="55"/>
      <c r="X250" s="56"/>
    </row>
    <row r="251" spans="1:24" s="2" customFormat="1" ht="24.95" hidden="1" customHeight="1">
      <c r="A251" s="29"/>
      <c r="B251" s="21"/>
      <c r="C251" s="22"/>
      <c r="D251" s="22" t="s">
        <v>408</v>
      </c>
      <c r="E251" s="23"/>
      <c r="F251" s="41"/>
      <c r="G251" s="26"/>
      <c r="H251" s="98"/>
      <c r="I251" s="23">
        <v>3250</v>
      </c>
      <c r="J251" s="23"/>
      <c r="K251" s="23"/>
      <c r="L251" s="23"/>
      <c r="M251" s="23"/>
      <c r="N251" s="45"/>
      <c r="O251" s="191"/>
      <c r="P251" s="50"/>
      <c r="Q251" s="191"/>
      <c r="R251" s="51"/>
      <c r="S251" s="98"/>
      <c r="T251" s="23"/>
      <c r="U251" s="169"/>
      <c r="V251" s="99"/>
      <c r="W251" s="55"/>
      <c r="X251" s="56"/>
    </row>
    <row r="252" spans="1:24" s="2" customFormat="1" ht="24.95" hidden="1" customHeight="1">
      <c r="A252" s="22"/>
      <c r="B252" s="22"/>
      <c r="C252" s="22"/>
      <c r="D252" s="22" t="s">
        <v>409</v>
      </c>
      <c r="E252" s="32"/>
      <c r="F252" s="33"/>
      <c r="G252" s="104"/>
      <c r="H252" s="102"/>
      <c r="I252" s="23">
        <v>10000</v>
      </c>
      <c r="J252" s="22"/>
      <c r="K252" s="22"/>
      <c r="L252" s="22"/>
      <c r="M252" s="22"/>
      <c r="N252" s="33"/>
      <c r="O252" s="210"/>
      <c r="P252" s="124"/>
      <c r="Q252" s="210"/>
      <c r="R252" s="33"/>
      <c r="S252" s="102"/>
      <c r="T252" s="22"/>
      <c r="U252" s="126"/>
      <c r="V252" s="127"/>
      <c r="W252" s="55"/>
      <c r="X252" s="56"/>
    </row>
    <row r="253" spans="1:24" s="2" customFormat="1" ht="24.95" hidden="1" customHeight="1">
      <c r="A253" s="42"/>
      <c r="B253" s="22"/>
      <c r="C253" s="22"/>
      <c r="D253" s="22" t="s">
        <v>410</v>
      </c>
      <c r="E253" s="32"/>
      <c r="F253" s="33"/>
      <c r="G253" s="104"/>
      <c r="H253" s="102"/>
      <c r="I253" s="23">
        <v>3000</v>
      </c>
      <c r="J253" s="22"/>
      <c r="K253" s="22"/>
      <c r="L253" s="22"/>
      <c r="M253" s="22"/>
      <c r="N253" s="125"/>
      <c r="O253" s="211"/>
      <c r="P253" s="125"/>
      <c r="Q253" s="211"/>
      <c r="R253" s="33"/>
      <c r="S253" s="102"/>
      <c r="T253" s="22"/>
      <c r="U253" s="126"/>
      <c r="V253" s="127"/>
      <c r="W253" s="55"/>
      <c r="X253" s="56"/>
    </row>
    <row r="254" spans="1:24" s="2" customFormat="1" ht="24.95" customHeight="1">
      <c r="A254" s="29" t="s">
        <v>49</v>
      </c>
      <c r="B254" s="21"/>
      <c r="C254" s="22" t="s">
        <v>411</v>
      </c>
      <c r="D254" s="22" t="s">
        <v>412</v>
      </c>
      <c r="E254" s="23">
        <v>150000</v>
      </c>
      <c r="F254" s="41">
        <f t="shared" si="33"/>
        <v>1.1462305333333334</v>
      </c>
      <c r="G254" s="26">
        <v>354</v>
      </c>
      <c r="H254" s="98">
        <f>I254+J254</f>
        <v>171934.58000000002</v>
      </c>
      <c r="I254" s="23">
        <f>SUM(I255:I261)</f>
        <v>108000</v>
      </c>
      <c r="J254" s="23">
        <f>K254+L254</f>
        <v>63934.58</v>
      </c>
      <c r="K254" s="23">
        <v>0</v>
      </c>
      <c r="L254" s="23">
        <v>63934.58</v>
      </c>
      <c r="M254" s="23">
        <f>N254+P254</f>
        <v>3266.1000000000004</v>
      </c>
      <c r="N254" s="45">
        <v>2612.88</v>
      </c>
      <c r="O254" s="191">
        <v>2620</v>
      </c>
      <c r="P254" s="50">
        <v>653.22</v>
      </c>
      <c r="Q254" s="191">
        <v>660</v>
      </c>
      <c r="R254" s="51">
        <v>0</v>
      </c>
      <c r="S254" s="98">
        <v>170700</v>
      </c>
      <c r="T254" s="23">
        <f>J254/5000*100</f>
        <v>1278.6915999999999</v>
      </c>
      <c r="U254" s="169">
        <v>1200</v>
      </c>
      <c r="V254" s="99">
        <f t="shared" ref="V254" si="38">U254*2</f>
        <v>2400</v>
      </c>
      <c r="W254" s="55">
        <f>H254-R254-S254-U254</f>
        <v>34.580000000016298</v>
      </c>
      <c r="X254" s="56"/>
    </row>
    <row r="255" spans="1:24" s="2" customFormat="1" ht="24.95" hidden="1" customHeight="1">
      <c r="A255" s="22"/>
      <c r="B255" s="22"/>
      <c r="C255" s="22"/>
      <c r="D255" s="22" t="s">
        <v>413</v>
      </c>
      <c r="E255" s="32"/>
      <c r="F255" s="33"/>
      <c r="G255" s="104"/>
      <c r="H255" s="102"/>
      <c r="I255" s="23">
        <v>5000</v>
      </c>
      <c r="J255" s="22"/>
      <c r="K255" s="22"/>
      <c r="L255" s="22"/>
      <c r="M255" s="22"/>
      <c r="N255" s="33"/>
      <c r="O255" s="33"/>
      <c r="P255" s="33"/>
      <c r="Q255" s="33"/>
      <c r="R255" s="33"/>
      <c r="S255" s="22"/>
      <c r="T255" s="22"/>
      <c r="U255" s="126"/>
      <c r="V255" s="126"/>
      <c r="W255" s="55"/>
      <c r="X255" s="56"/>
    </row>
    <row r="256" spans="1:24" s="2" customFormat="1" ht="24.95" hidden="1" customHeight="1">
      <c r="A256" s="22"/>
      <c r="B256" s="22"/>
      <c r="C256" s="22"/>
      <c r="D256" s="22" t="s">
        <v>414</v>
      </c>
      <c r="E256" s="32"/>
      <c r="F256" s="33"/>
      <c r="G256" s="104"/>
      <c r="H256" s="102"/>
      <c r="I256" s="23">
        <v>8000</v>
      </c>
      <c r="J256" s="22"/>
      <c r="K256" s="22"/>
      <c r="L256" s="22"/>
      <c r="M256" s="22"/>
      <c r="N256" s="33"/>
      <c r="O256" s="33"/>
      <c r="P256" s="33"/>
      <c r="Q256" s="33"/>
      <c r="R256" s="33"/>
      <c r="S256" s="22"/>
      <c r="T256" s="22"/>
      <c r="U256" s="126"/>
      <c r="V256" s="126"/>
      <c r="W256" s="55"/>
      <c r="X256" s="56"/>
    </row>
    <row r="257" spans="1:26" ht="24.95" hidden="1" customHeight="1">
      <c r="A257" s="22"/>
      <c r="B257" s="22"/>
      <c r="C257" s="22"/>
      <c r="D257" s="22" t="s">
        <v>415</v>
      </c>
      <c r="E257" s="32"/>
      <c r="F257" s="33"/>
      <c r="G257" s="104"/>
      <c r="H257" s="102"/>
      <c r="I257" s="23">
        <v>30000</v>
      </c>
      <c r="J257" s="22"/>
      <c r="K257" s="22"/>
      <c r="L257" s="22"/>
      <c r="M257" s="22"/>
      <c r="N257" s="33"/>
      <c r="O257" s="33"/>
      <c r="P257" s="33"/>
      <c r="Q257" s="33"/>
      <c r="R257" s="33"/>
      <c r="S257" s="22"/>
      <c r="T257" s="22"/>
      <c r="U257" s="126"/>
      <c r="V257" s="126"/>
      <c r="W257" s="55"/>
      <c r="X257" s="56"/>
    </row>
    <row r="258" spans="1:26" ht="24.95" hidden="1" customHeight="1">
      <c r="A258" s="22"/>
      <c r="B258" s="22"/>
      <c r="C258" s="22"/>
      <c r="D258" s="22" t="s">
        <v>416</v>
      </c>
      <c r="E258" s="32"/>
      <c r="F258" s="33"/>
      <c r="G258" s="104"/>
      <c r="H258" s="102"/>
      <c r="I258" s="23">
        <v>5000</v>
      </c>
      <c r="J258" s="22"/>
      <c r="K258" s="22"/>
      <c r="L258" s="22"/>
      <c r="M258" s="22"/>
      <c r="N258" s="33"/>
      <c r="O258" s="33"/>
      <c r="P258" s="33"/>
      <c r="Q258" s="33"/>
      <c r="R258" s="33"/>
      <c r="S258" s="22"/>
      <c r="T258" s="22"/>
      <c r="U258" s="126"/>
      <c r="V258" s="126"/>
      <c r="W258" s="55"/>
      <c r="X258" s="56"/>
    </row>
    <row r="259" spans="1:26" ht="24.95" hidden="1" customHeight="1">
      <c r="A259" s="22"/>
      <c r="B259" s="22"/>
      <c r="C259" s="22"/>
      <c r="D259" s="22" t="s">
        <v>417</v>
      </c>
      <c r="E259" s="32"/>
      <c r="F259" s="33"/>
      <c r="G259" s="104"/>
      <c r="H259" s="102"/>
      <c r="I259" s="23">
        <v>5000</v>
      </c>
      <c r="J259" s="22"/>
      <c r="K259" s="22"/>
      <c r="L259" s="22"/>
      <c r="M259" s="22"/>
      <c r="N259" s="33"/>
      <c r="O259" s="33"/>
      <c r="P259" s="33"/>
      <c r="Q259" s="33"/>
      <c r="R259" s="33"/>
      <c r="S259" s="22"/>
      <c r="T259" s="22"/>
      <c r="U259" s="126"/>
      <c r="V259" s="126"/>
      <c r="W259" s="55"/>
      <c r="X259" s="56"/>
    </row>
    <row r="260" spans="1:26" ht="24.95" hidden="1" customHeight="1">
      <c r="A260" s="22"/>
      <c r="B260" s="22"/>
      <c r="C260" s="22"/>
      <c r="D260" s="22" t="s">
        <v>418</v>
      </c>
      <c r="E260" s="32"/>
      <c r="F260" s="33"/>
      <c r="G260" s="104"/>
      <c r="H260" s="102"/>
      <c r="I260" s="23">
        <v>5000</v>
      </c>
      <c r="J260" s="22"/>
      <c r="K260" s="22"/>
      <c r="L260" s="22"/>
      <c r="M260" s="22"/>
      <c r="N260" s="33"/>
      <c r="O260" s="33"/>
      <c r="P260" s="33"/>
      <c r="Q260" s="33"/>
      <c r="R260" s="33"/>
      <c r="S260" s="22"/>
      <c r="T260" s="22"/>
      <c r="U260" s="126"/>
      <c r="V260" s="126"/>
      <c r="W260" s="55"/>
      <c r="X260" s="56"/>
    </row>
    <row r="261" spans="1:26" ht="24.95" hidden="1" customHeight="1">
      <c r="A261" s="22"/>
      <c r="B261" s="22"/>
      <c r="C261" s="22"/>
      <c r="D261" s="22" t="s">
        <v>419</v>
      </c>
      <c r="E261" s="32"/>
      <c r="F261" s="33"/>
      <c r="G261" s="104"/>
      <c r="H261" s="102"/>
      <c r="I261" s="23">
        <v>50000</v>
      </c>
      <c r="J261" s="22"/>
      <c r="K261" s="22"/>
      <c r="L261" s="22"/>
      <c r="M261" s="22"/>
      <c r="N261" s="33"/>
      <c r="O261" s="33"/>
      <c r="P261" s="33"/>
      <c r="Q261" s="33"/>
      <c r="R261" s="33"/>
      <c r="S261" s="22"/>
      <c r="T261" s="22"/>
      <c r="U261" s="126"/>
      <c r="V261" s="126"/>
      <c r="W261" s="55"/>
      <c r="X261" s="56"/>
    </row>
    <row r="262" spans="1:26" ht="24.95" customHeight="1">
      <c r="A262" s="244" t="s">
        <v>420</v>
      </c>
      <c r="B262" s="245"/>
      <c r="C262" s="245"/>
      <c r="D262" s="245"/>
      <c r="E262" s="245"/>
      <c r="F262" s="245"/>
      <c r="G262" s="245"/>
      <c r="H262" s="245"/>
      <c r="I262" s="245"/>
      <c r="J262" s="245"/>
      <c r="K262" s="245"/>
      <c r="L262" s="245"/>
      <c r="M262" s="245"/>
      <c r="N262" s="245"/>
      <c r="O262" s="245"/>
      <c r="P262" s="245"/>
      <c r="Q262" s="245"/>
      <c r="R262" s="245"/>
      <c r="S262" s="245"/>
      <c r="T262" s="245"/>
      <c r="U262" s="245"/>
      <c r="V262" s="245"/>
      <c r="W262" s="251"/>
      <c r="X262" s="183"/>
    </row>
    <row r="263" spans="1:26" s="180" customFormat="1" ht="24.95" customHeight="1">
      <c r="A263" s="15" t="s">
        <v>421</v>
      </c>
      <c r="B263" s="35" t="s">
        <v>0</v>
      </c>
      <c r="C263" s="10" t="s">
        <v>422</v>
      </c>
      <c r="D263" s="10" t="s">
        <v>423</v>
      </c>
      <c r="E263" s="19">
        <v>600000</v>
      </c>
      <c r="F263" s="39">
        <f>H263/E263</f>
        <v>0.23876106666666669</v>
      </c>
      <c r="G263" s="37">
        <f>G264+G266+G268+G270+G272+G274</f>
        <v>1086</v>
      </c>
      <c r="H263" s="97">
        <f>I263+J263</f>
        <v>143256.64000000001</v>
      </c>
      <c r="I263" s="19">
        <f>I264+I266+I268+I270+I272+I274</f>
        <v>101000</v>
      </c>
      <c r="J263" s="19">
        <f>K263+L263</f>
        <v>42256.639999999999</v>
      </c>
      <c r="K263" s="19">
        <v>0</v>
      </c>
      <c r="L263" s="19">
        <f>SUM(L264:L274)</f>
        <v>42256.639999999999</v>
      </c>
      <c r="M263" s="19">
        <f>M270+M272</f>
        <v>1967.14</v>
      </c>
      <c r="N263" s="19">
        <f>N270+N272</f>
        <v>1573.72</v>
      </c>
      <c r="O263" s="186">
        <f>O270+O272</f>
        <v>1580</v>
      </c>
      <c r="P263" s="63">
        <f>P270+P272</f>
        <v>393.42</v>
      </c>
      <c r="Q263" s="207">
        <f>Q270+Q272</f>
        <v>393</v>
      </c>
      <c r="R263" s="19">
        <f>R264+R266+R268+R270+R272+R274</f>
        <v>20000</v>
      </c>
      <c r="S263" s="84">
        <f>S264+S266+S268+S270+S272+S274</f>
        <v>122400</v>
      </c>
      <c r="T263" s="19">
        <f>T264+T266+T268+T270+T272+T274</f>
        <v>845.13280000000009</v>
      </c>
      <c r="U263" s="19">
        <f>U264+U266+U268+U270+U272+U274</f>
        <v>800</v>
      </c>
      <c r="V263" s="84">
        <f>V264+V266+V268+V270+V272+V274</f>
        <v>1600</v>
      </c>
      <c r="W263" s="52">
        <f>H263-R263-S263-U263</f>
        <v>56.64000000001397</v>
      </c>
      <c r="X263" s="58"/>
      <c r="Z263" s="182"/>
    </row>
    <row r="264" spans="1:26" s="180" customFormat="1" ht="24.95" customHeight="1">
      <c r="A264" s="29" t="s">
        <v>424</v>
      </c>
      <c r="B264" s="35"/>
      <c r="C264" s="22" t="s">
        <v>425</v>
      </c>
      <c r="D264" s="22" t="s">
        <v>426</v>
      </c>
      <c r="E264" s="23">
        <v>100000</v>
      </c>
      <c r="F264" s="41">
        <f t="shared" ref="F264:F274" si="39">H264/E264</f>
        <v>0.2006522</v>
      </c>
      <c r="G264" s="37">
        <v>4</v>
      </c>
      <c r="H264" s="98">
        <f>I264+J264</f>
        <v>20065.22</v>
      </c>
      <c r="I264" s="23">
        <f>SUM(I265)</f>
        <v>20000</v>
      </c>
      <c r="J264" s="23">
        <f>K264+L264</f>
        <v>65.22</v>
      </c>
      <c r="K264" s="23">
        <v>0</v>
      </c>
      <c r="L264" s="23">
        <v>65.22</v>
      </c>
      <c r="M264" s="17">
        <v>0</v>
      </c>
      <c r="N264" s="23">
        <v>0</v>
      </c>
      <c r="O264" s="194">
        <v>0</v>
      </c>
      <c r="P264" s="169">
        <v>0</v>
      </c>
      <c r="Q264" s="194">
        <v>0</v>
      </c>
      <c r="R264" s="23">
        <v>20000</v>
      </c>
      <c r="S264" s="98">
        <v>0</v>
      </c>
      <c r="T264" s="23">
        <f>J264/5000*100</f>
        <v>1.3044</v>
      </c>
      <c r="U264" s="169">
        <v>0</v>
      </c>
      <c r="V264" s="98">
        <f t="shared" ref="V264" si="40">U264*2</f>
        <v>0</v>
      </c>
      <c r="W264" s="55">
        <f>H264-R264-S264-U264</f>
        <v>65.220000000001164</v>
      </c>
      <c r="X264" s="58"/>
      <c r="Z264" s="182"/>
    </row>
    <row r="265" spans="1:26" s="180" customFormat="1" ht="24.95" hidden="1" customHeight="1">
      <c r="A265" s="29"/>
      <c r="B265" s="137">
        <v>44796</v>
      </c>
      <c r="C265" s="22"/>
      <c r="D265" s="22" t="s">
        <v>427</v>
      </c>
      <c r="E265" s="23"/>
      <c r="F265" s="41" t="e">
        <f t="shared" si="39"/>
        <v>#DIV/0!</v>
      </c>
      <c r="G265" s="37"/>
      <c r="H265" s="98"/>
      <c r="I265" s="23">
        <v>20000</v>
      </c>
      <c r="J265" s="23"/>
      <c r="K265" s="23"/>
      <c r="L265" s="23"/>
      <c r="M265" s="17"/>
      <c r="N265" s="23"/>
      <c r="O265" s="194"/>
      <c r="P265" s="169"/>
      <c r="Q265" s="194"/>
      <c r="R265" s="23"/>
      <c r="S265" s="98"/>
      <c r="T265" s="23"/>
      <c r="U265" s="169"/>
      <c r="V265" s="99"/>
      <c r="W265" s="67"/>
      <c r="X265" s="58"/>
      <c r="Z265" s="182"/>
    </row>
    <row r="266" spans="1:26" s="180" customFormat="1" ht="24.95" customHeight="1">
      <c r="A266" s="29" t="s">
        <v>50</v>
      </c>
      <c r="B266" s="35"/>
      <c r="C266" s="22" t="s">
        <v>428</v>
      </c>
      <c r="D266" s="22" t="s">
        <v>429</v>
      </c>
      <c r="E266" s="23">
        <v>100000</v>
      </c>
      <c r="F266" s="41">
        <f t="shared" si="39"/>
        <v>0.10002760000000001</v>
      </c>
      <c r="G266" s="37">
        <v>2</v>
      </c>
      <c r="H266" s="98">
        <f>I266+J266</f>
        <v>10002.76</v>
      </c>
      <c r="I266" s="23">
        <f>I267</f>
        <v>10000</v>
      </c>
      <c r="J266" s="23">
        <f>K266+L266</f>
        <v>2.76</v>
      </c>
      <c r="K266" s="23">
        <v>0</v>
      </c>
      <c r="L266" s="23">
        <v>2.76</v>
      </c>
      <c r="M266" s="17">
        <v>0</v>
      </c>
      <c r="N266" s="23">
        <v>0</v>
      </c>
      <c r="O266" s="194">
        <v>0</v>
      </c>
      <c r="P266" s="169">
        <v>0</v>
      </c>
      <c r="Q266" s="194">
        <v>0</v>
      </c>
      <c r="R266" s="51">
        <v>0</v>
      </c>
      <c r="S266" s="98">
        <v>10000</v>
      </c>
      <c r="T266" s="23">
        <f>J266/5000*100</f>
        <v>5.5199999999999999E-2</v>
      </c>
      <c r="U266" s="169">
        <v>0</v>
      </c>
      <c r="V266" s="99">
        <f t="shared" ref="V266" si="41">U266*2</f>
        <v>0</v>
      </c>
      <c r="W266" s="55">
        <f>H266-R266-S266-U266</f>
        <v>2.7600000000002183</v>
      </c>
      <c r="X266" s="58"/>
      <c r="Z266" s="182"/>
    </row>
    <row r="267" spans="1:26" s="180" customFormat="1" ht="24.95" hidden="1" customHeight="1">
      <c r="A267" s="29"/>
      <c r="B267" s="35"/>
      <c r="C267" s="22"/>
      <c r="D267" s="22" t="s">
        <v>430</v>
      </c>
      <c r="E267" s="23"/>
      <c r="F267" s="41"/>
      <c r="G267" s="37"/>
      <c r="H267" s="98"/>
      <c r="I267" s="23">
        <v>10000</v>
      </c>
      <c r="J267" s="23"/>
      <c r="K267" s="23"/>
      <c r="L267" s="23"/>
      <c r="M267" s="17"/>
      <c r="N267" s="23"/>
      <c r="O267" s="194"/>
      <c r="P267" s="169"/>
      <c r="Q267" s="194"/>
      <c r="R267" s="23"/>
      <c r="S267" s="98"/>
      <c r="T267" s="23"/>
      <c r="U267" s="169"/>
      <c r="V267" s="99"/>
      <c r="W267" s="55"/>
      <c r="X267" s="58"/>
      <c r="Z267" s="182"/>
    </row>
    <row r="268" spans="1:26" s="180" customFormat="1" ht="24.95" customHeight="1">
      <c r="A268" s="29" t="s">
        <v>51</v>
      </c>
      <c r="B268" s="35"/>
      <c r="C268" s="22" t="s">
        <v>431</v>
      </c>
      <c r="D268" s="22" t="s">
        <v>432</v>
      </c>
      <c r="E268" s="23">
        <v>100000</v>
      </c>
      <c r="F268" s="41">
        <f t="shared" si="39"/>
        <v>0.20002700000000001</v>
      </c>
      <c r="G268" s="37">
        <v>2</v>
      </c>
      <c r="H268" s="98">
        <f t="shared" ref="H268:H274" si="42">I268+J268</f>
        <v>20002.7</v>
      </c>
      <c r="I268" s="23">
        <f>I269</f>
        <v>20000</v>
      </c>
      <c r="J268" s="23">
        <f t="shared" ref="J268:J274" si="43">K268+L268</f>
        <v>2.7</v>
      </c>
      <c r="K268" s="23">
        <v>0</v>
      </c>
      <c r="L268" s="23">
        <v>2.7</v>
      </c>
      <c r="M268" s="17">
        <v>0</v>
      </c>
      <c r="N268" s="23">
        <v>0</v>
      </c>
      <c r="O268" s="194">
        <v>0</v>
      </c>
      <c r="P268" s="169">
        <v>0</v>
      </c>
      <c r="Q268" s="194">
        <v>0</v>
      </c>
      <c r="R268" s="51">
        <v>0</v>
      </c>
      <c r="S268" s="98">
        <v>20000</v>
      </c>
      <c r="T268" s="23">
        <f>J268/5000*100</f>
        <v>5.3999999999999999E-2</v>
      </c>
      <c r="U268" s="169">
        <v>0</v>
      </c>
      <c r="V268" s="99">
        <f t="shared" ref="V268" si="44">U268*2</f>
        <v>0</v>
      </c>
      <c r="W268" s="55">
        <f>H268-R268-S268-U268</f>
        <v>2.7000000000007276</v>
      </c>
      <c r="X268" s="58"/>
      <c r="Z268" s="182"/>
    </row>
    <row r="269" spans="1:26" s="180" customFormat="1" ht="24.95" hidden="1" customHeight="1">
      <c r="A269" s="29"/>
      <c r="B269" s="35"/>
      <c r="C269" s="22"/>
      <c r="D269" s="22" t="s">
        <v>433</v>
      </c>
      <c r="E269" s="23"/>
      <c r="F269" s="41"/>
      <c r="G269" s="37"/>
      <c r="H269" s="98"/>
      <c r="I269" s="23">
        <v>20000</v>
      </c>
      <c r="J269" s="23"/>
      <c r="K269" s="23"/>
      <c r="L269" s="23"/>
      <c r="M269" s="17"/>
      <c r="N269" s="45"/>
      <c r="O269" s="191"/>
      <c r="P269" s="50"/>
      <c r="Q269" s="193"/>
      <c r="R269" s="51"/>
      <c r="S269" s="98"/>
      <c r="T269" s="23"/>
      <c r="U269" s="169"/>
      <c r="V269" s="99"/>
      <c r="W269" s="55"/>
      <c r="X269" s="58"/>
      <c r="Z269" s="182"/>
    </row>
    <row r="270" spans="1:26" s="180" customFormat="1" ht="24.95" customHeight="1">
      <c r="A270" s="29" t="s">
        <v>52</v>
      </c>
      <c r="B270" s="35"/>
      <c r="C270" s="22" t="s">
        <v>434</v>
      </c>
      <c r="D270" s="22" t="s">
        <v>435</v>
      </c>
      <c r="E270" s="23">
        <v>100000</v>
      </c>
      <c r="F270" s="41">
        <f t="shared" si="39"/>
        <v>0.300321</v>
      </c>
      <c r="G270" s="37">
        <v>4</v>
      </c>
      <c r="H270" s="98">
        <f t="shared" si="42"/>
        <v>30032.1</v>
      </c>
      <c r="I270" s="23">
        <f>I271</f>
        <v>30000</v>
      </c>
      <c r="J270" s="23">
        <f t="shared" si="43"/>
        <v>32.1</v>
      </c>
      <c r="K270" s="23">
        <v>0</v>
      </c>
      <c r="L270" s="23">
        <v>32.1</v>
      </c>
      <c r="M270" s="17">
        <f>N270+P270</f>
        <v>6.2200000000000006</v>
      </c>
      <c r="N270" s="45">
        <v>4.9800000000000004</v>
      </c>
      <c r="O270" s="191">
        <v>0</v>
      </c>
      <c r="P270" s="50">
        <v>1.24</v>
      </c>
      <c r="Q270" s="191">
        <v>1</v>
      </c>
      <c r="R270" s="51">
        <v>0</v>
      </c>
      <c r="S270" s="98">
        <v>30000</v>
      </c>
      <c r="T270" s="23">
        <f>J270/5000*100</f>
        <v>0.64200000000000002</v>
      </c>
      <c r="U270" s="169">
        <v>0</v>
      </c>
      <c r="V270" s="99">
        <f t="shared" ref="V270" si="45">U270*2</f>
        <v>0</v>
      </c>
      <c r="W270" s="55">
        <f>H270-R270-S270-U270</f>
        <v>32.099999999998545</v>
      </c>
      <c r="X270" s="58"/>
      <c r="Z270" s="182"/>
    </row>
    <row r="271" spans="1:26" s="180" customFormat="1" ht="24.95" hidden="1" customHeight="1">
      <c r="A271" s="29"/>
      <c r="B271" s="35"/>
      <c r="C271" s="22"/>
      <c r="D271" s="22" t="s">
        <v>436</v>
      </c>
      <c r="E271" s="23"/>
      <c r="F271" s="41"/>
      <c r="G271" s="37"/>
      <c r="H271" s="98"/>
      <c r="I271" s="23">
        <v>30000</v>
      </c>
      <c r="J271" s="23"/>
      <c r="K271" s="23"/>
      <c r="L271" s="23"/>
      <c r="M271" s="17"/>
      <c r="N271" s="45"/>
      <c r="O271" s="191"/>
      <c r="P271" s="50"/>
      <c r="Q271" s="191"/>
      <c r="R271" s="51"/>
      <c r="S271" s="98"/>
      <c r="T271" s="23"/>
      <c r="U271" s="169"/>
      <c r="V271" s="99"/>
      <c r="W271" s="55"/>
      <c r="X271" s="58"/>
      <c r="Z271" s="182"/>
    </row>
    <row r="272" spans="1:26" s="180" customFormat="1" ht="24.95" customHeight="1">
      <c r="A272" s="29" t="s">
        <v>53</v>
      </c>
      <c r="B272" s="35"/>
      <c r="C272" s="22" t="s">
        <v>437</v>
      </c>
      <c r="D272" s="22" t="s">
        <v>438</v>
      </c>
      <c r="E272" s="23">
        <v>100000</v>
      </c>
      <c r="F272" s="41">
        <f t="shared" si="39"/>
        <v>0.42751099999999997</v>
      </c>
      <c r="G272" s="37">
        <v>1068</v>
      </c>
      <c r="H272" s="98">
        <f t="shared" si="42"/>
        <v>42751.1</v>
      </c>
      <c r="I272" s="23">
        <f>I273</f>
        <v>1000</v>
      </c>
      <c r="J272" s="23">
        <f t="shared" si="43"/>
        <v>41751.1</v>
      </c>
      <c r="K272" s="23">
        <v>0</v>
      </c>
      <c r="L272" s="23">
        <v>41751.1</v>
      </c>
      <c r="M272" s="17">
        <f>N272+P272</f>
        <v>1960.92</v>
      </c>
      <c r="N272" s="45">
        <v>1568.74</v>
      </c>
      <c r="O272" s="191">
        <v>1580</v>
      </c>
      <c r="P272" s="50">
        <v>392.18</v>
      </c>
      <c r="Q272" s="191">
        <v>392</v>
      </c>
      <c r="R272" s="51">
        <v>0</v>
      </c>
      <c r="S272" s="98">
        <v>42000</v>
      </c>
      <c r="T272" s="23">
        <f>J272/5000*100</f>
        <v>835.02200000000005</v>
      </c>
      <c r="U272" s="169">
        <v>800</v>
      </c>
      <c r="V272" s="99">
        <f t="shared" ref="V272" si="46">U272*2</f>
        <v>1600</v>
      </c>
      <c r="W272" s="55">
        <f>H272-R272-S272-U272</f>
        <v>-48.900000000001455</v>
      </c>
      <c r="X272" s="58"/>
      <c r="Z272" s="182"/>
    </row>
    <row r="273" spans="1:26" s="180" customFormat="1" ht="24.95" hidden="1" customHeight="1">
      <c r="A273" s="29"/>
      <c r="B273" s="35"/>
      <c r="C273" s="22"/>
      <c r="D273" s="22" t="s">
        <v>436</v>
      </c>
      <c r="E273" s="23"/>
      <c r="F273" s="41"/>
      <c r="G273" s="37"/>
      <c r="H273" s="98"/>
      <c r="I273" s="23">
        <v>1000</v>
      </c>
      <c r="J273" s="23"/>
      <c r="K273" s="23"/>
      <c r="L273" s="23"/>
      <c r="M273" s="17"/>
      <c r="N273" s="45"/>
      <c r="O273" s="191"/>
      <c r="P273" s="50"/>
      <c r="Q273" s="193"/>
      <c r="R273" s="51"/>
      <c r="S273" s="98"/>
      <c r="T273" s="23"/>
      <c r="U273" s="169"/>
      <c r="V273" s="99"/>
      <c r="W273" s="55"/>
      <c r="X273" s="58"/>
      <c r="Z273" s="182"/>
    </row>
    <row r="274" spans="1:26" s="180" customFormat="1" ht="24.95" customHeight="1">
      <c r="A274" s="29" t="s">
        <v>54</v>
      </c>
      <c r="B274" s="35"/>
      <c r="C274" s="22" t="s">
        <v>439</v>
      </c>
      <c r="D274" s="22" t="s">
        <v>440</v>
      </c>
      <c r="E274" s="23">
        <v>100000</v>
      </c>
      <c r="F274" s="41">
        <f t="shared" si="39"/>
        <v>0.20402759999999998</v>
      </c>
      <c r="G274" s="37">
        <v>6</v>
      </c>
      <c r="H274" s="98">
        <f t="shared" si="42"/>
        <v>20402.759999999998</v>
      </c>
      <c r="I274" s="23">
        <f>I275</f>
        <v>20000</v>
      </c>
      <c r="J274" s="23">
        <f t="shared" si="43"/>
        <v>402.76</v>
      </c>
      <c r="K274" s="23">
        <v>0</v>
      </c>
      <c r="L274" s="23">
        <v>402.76</v>
      </c>
      <c r="M274" s="17">
        <v>0</v>
      </c>
      <c r="N274" s="23">
        <v>0</v>
      </c>
      <c r="O274" s="194">
        <v>0</v>
      </c>
      <c r="P274" s="169">
        <v>0</v>
      </c>
      <c r="Q274" s="194">
        <v>0</v>
      </c>
      <c r="R274" s="51">
        <v>0</v>
      </c>
      <c r="S274" s="98">
        <v>20400</v>
      </c>
      <c r="T274" s="23">
        <f>J274/5000*100</f>
        <v>8.0551999999999992</v>
      </c>
      <c r="U274" s="169">
        <v>0</v>
      </c>
      <c r="V274" s="99">
        <f t="shared" ref="V274" si="47">U274*2</f>
        <v>0</v>
      </c>
      <c r="W274" s="55">
        <f>H274-R274-S274-U274</f>
        <v>2.7599999999983993</v>
      </c>
      <c r="X274" s="58"/>
      <c r="Z274" s="182"/>
    </row>
    <row r="275" spans="1:26" s="180" customFormat="1" ht="24.95" hidden="1" customHeight="1">
      <c r="A275" s="69"/>
      <c r="B275" s="72"/>
      <c r="C275" s="22"/>
      <c r="D275" s="22" t="s">
        <v>436</v>
      </c>
      <c r="E275" s="22"/>
      <c r="F275" s="22"/>
      <c r="G275" s="104"/>
      <c r="H275" s="102"/>
      <c r="I275" s="23">
        <v>20000</v>
      </c>
      <c r="J275" s="22"/>
      <c r="K275" s="22"/>
      <c r="L275" s="22"/>
      <c r="M275" s="22"/>
      <c r="N275" s="33"/>
      <c r="O275" s="33"/>
      <c r="P275" s="33"/>
      <c r="Q275" s="33"/>
      <c r="R275" s="33"/>
      <c r="S275" s="22"/>
      <c r="T275" s="22"/>
      <c r="U275" s="142"/>
      <c r="V275" s="142"/>
      <c r="W275" s="61"/>
      <c r="X275" s="58"/>
      <c r="Z275" s="182"/>
    </row>
    <row r="276" spans="1:26" ht="24.95" customHeight="1">
      <c r="A276" s="244" t="s">
        <v>441</v>
      </c>
      <c r="B276" s="245"/>
      <c r="C276" s="245"/>
      <c r="D276" s="245"/>
      <c r="E276" s="245"/>
      <c r="F276" s="245"/>
      <c r="G276" s="245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  <c r="R276" s="245"/>
      <c r="S276" s="245"/>
      <c r="T276" s="245"/>
      <c r="U276" s="245"/>
      <c r="V276" s="245"/>
      <c r="W276" s="251"/>
      <c r="X276" s="183"/>
    </row>
    <row r="277" spans="1:26" ht="24.95" customHeight="1">
      <c r="A277" s="15" t="s">
        <v>442</v>
      </c>
      <c r="B277" s="35" t="s">
        <v>0</v>
      </c>
      <c r="C277" s="10" t="s">
        <v>443</v>
      </c>
      <c r="D277" s="10" t="s">
        <v>444</v>
      </c>
      <c r="E277" s="19">
        <v>750000</v>
      </c>
      <c r="F277" s="39">
        <f>H277/E277</f>
        <v>0.95772172</v>
      </c>
      <c r="G277" s="37">
        <f>G278+G280+G283+G284+G296+G303</f>
        <v>1436</v>
      </c>
      <c r="H277" s="97">
        <f>I277+J277</f>
        <v>718291.29</v>
      </c>
      <c r="I277" s="19">
        <f>I278+I280+I283+I284+I296+I303</f>
        <v>414200</v>
      </c>
      <c r="J277" s="19">
        <f>K277+L277</f>
        <v>304091.28999999998</v>
      </c>
      <c r="K277" s="19">
        <v>0</v>
      </c>
      <c r="L277" s="19">
        <f>SUM(L278:L303)</f>
        <v>304091.28999999998</v>
      </c>
      <c r="M277" s="19">
        <f>M278+M280+M283+M284+M296+M303</f>
        <v>18462.959999999995</v>
      </c>
      <c r="N277" s="19">
        <f t="shared" ref="N277:Q277" si="48">N278+N280+N283+N284+N296+N303</f>
        <v>14770.380000000001</v>
      </c>
      <c r="O277" s="186">
        <f t="shared" si="48"/>
        <v>14780</v>
      </c>
      <c r="P277" s="19">
        <f t="shared" si="48"/>
        <v>3692.58</v>
      </c>
      <c r="Q277" s="186">
        <f t="shared" si="48"/>
        <v>3694</v>
      </c>
      <c r="R277" s="19">
        <f>R278+R280+R283+R284+R296+R303</f>
        <v>200000</v>
      </c>
      <c r="S277" s="19">
        <f>S278+S280+S283+S284+S296+S303</f>
        <v>512300</v>
      </c>
      <c r="T277" s="19">
        <f>T278+T280+T283+T284+T296+T303</f>
        <v>6081.8258000000005</v>
      </c>
      <c r="U277" s="19">
        <f>U278+U280+U283+U284+U296+U303</f>
        <v>5900</v>
      </c>
      <c r="V277" s="97">
        <f>V278+V280+V283+V284+V296+V303</f>
        <v>11800</v>
      </c>
      <c r="W277" s="52">
        <f>H277-R277-S277-U277</f>
        <v>91.290000000037253</v>
      </c>
      <c r="X277" s="143"/>
      <c r="Z277" s="59"/>
    </row>
    <row r="278" spans="1:26" ht="24.95" customHeight="1">
      <c r="A278" s="29" t="s">
        <v>55</v>
      </c>
      <c r="B278" s="21" t="s">
        <v>0</v>
      </c>
      <c r="C278" s="22" t="s">
        <v>445</v>
      </c>
      <c r="D278" s="138" t="s">
        <v>446</v>
      </c>
      <c r="E278" s="23">
        <v>120000</v>
      </c>
      <c r="F278" s="41">
        <f t="shared" ref="F278:F303" si="49">H278/E278</f>
        <v>0.8416750833333333</v>
      </c>
      <c r="G278" s="37">
        <v>13</v>
      </c>
      <c r="H278" s="98">
        <f>I278+J278</f>
        <v>101001.01</v>
      </c>
      <c r="I278" s="23">
        <f>I279</f>
        <v>100000</v>
      </c>
      <c r="J278" s="23">
        <f>K278+L278</f>
        <v>1001.01</v>
      </c>
      <c r="K278" s="23">
        <v>0</v>
      </c>
      <c r="L278" s="23">
        <v>1001.01</v>
      </c>
      <c r="M278" s="23">
        <f>N278+P278</f>
        <v>135.70999999999998</v>
      </c>
      <c r="N278" s="23">
        <v>108.57</v>
      </c>
      <c r="O278" s="188">
        <v>110</v>
      </c>
      <c r="P278" s="23">
        <v>27.14</v>
      </c>
      <c r="Q278" s="188">
        <v>28</v>
      </c>
      <c r="R278" s="23">
        <v>0</v>
      </c>
      <c r="S278" s="98">
        <v>101000</v>
      </c>
      <c r="T278" s="23">
        <f>J278/5000*100</f>
        <v>20.020199999999999</v>
      </c>
      <c r="U278" s="169">
        <v>0</v>
      </c>
      <c r="V278" s="99">
        <f t="shared" ref="V278" si="50">U278*2</f>
        <v>0</v>
      </c>
      <c r="W278" s="55">
        <f>H278-R278-S278-U278</f>
        <v>1.0099999999947613</v>
      </c>
      <c r="X278" s="56"/>
    </row>
    <row r="279" spans="1:26" ht="24.95" hidden="1" customHeight="1">
      <c r="A279" s="29"/>
      <c r="B279" s="21"/>
      <c r="C279" s="22"/>
      <c r="D279" s="138" t="s">
        <v>447</v>
      </c>
      <c r="E279" s="23"/>
      <c r="F279" s="41"/>
      <c r="G279" s="37"/>
      <c r="H279" s="98"/>
      <c r="I279" s="23">
        <v>100000</v>
      </c>
      <c r="J279" s="23"/>
      <c r="K279" s="23"/>
      <c r="L279" s="23"/>
      <c r="M279" s="23"/>
      <c r="N279" s="23"/>
      <c r="O279" s="188"/>
      <c r="P279" s="23"/>
      <c r="Q279" s="188"/>
      <c r="R279" s="23"/>
      <c r="S279" s="98"/>
      <c r="T279" s="23"/>
      <c r="U279" s="169"/>
      <c r="V279" s="99"/>
      <c r="W279" s="55"/>
      <c r="X279" s="56"/>
    </row>
    <row r="280" spans="1:26" ht="24.95" customHeight="1">
      <c r="A280" s="29" t="s">
        <v>56</v>
      </c>
      <c r="B280" s="21" t="s">
        <v>0</v>
      </c>
      <c r="C280" s="22" t="s">
        <v>448</v>
      </c>
      <c r="D280" s="138" t="s">
        <v>449</v>
      </c>
      <c r="E280" s="23">
        <v>120000</v>
      </c>
      <c r="F280" s="41">
        <f t="shared" si="49"/>
        <v>2.2653084166666666</v>
      </c>
      <c r="G280" s="37">
        <v>660</v>
      </c>
      <c r="H280" s="98">
        <f>I280+J280</f>
        <v>271837.01</v>
      </c>
      <c r="I280" s="23">
        <f>I281</f>
        <v>200000</v>
      </c>
      <c r="J280" s="23">
        <f>K280+L280</f>
        <v>71837.009999999995</v>
      </c>
      <c r="K280" s="23">
        <v>0</v>
      </c>
      <c r="L280" s="23">
        <v>71837.009999999995</v>
      </c>
      <c r="M280" s="23">
        <f>N280+P280</f>
        <v>6255.23</v>
      </c>
      <c r="N280" s="23">
        <f>5002+2.19</f>
        <v>5004.1899999999996</v>
      </c>
      <c r="O280" s="188">
        <v>5010</v>
      </c>
      <c r="P280" s="23">
        <f>1250.5+0.54</f>
        <v>1251.04</v>
      </c>
      <c r="Q280" s="188">
        <v>1251</v>
      </c>
      <c r="R280" s="23">
        <v>200000</v>
      </c>
      <c r="S280" s="98">
        <v>70400</v>
      </c>
      <c r="T280" s="23">
        <f>J280/5000*100</f>
        <v>1436.7401999999997</v>
      </c>
      <c r="U280" s="169">
        <v>1400</v>
      </c>
      <c r="V280" s="99">
        <f t="shared" ref="V280" si="51">U280*2</f>
        <v>2800</v>
      </c>
      <c r="W280" s="55">
        <f>H280-R280-S280-U280</f>
        <v>37.010000000009313</v>
      </c>
      <c r="X280" s="56"/>
    </row>
    <row r="281" spans="1:26" ht="24.95" hidden="1" customHeight="1">
      <c r="A281" s="29"/>
      <c r="B281" s="21"/>
      <c r="C281" s="22"/>
      <c r="D281" s="138" t="s">
        <v>450</v>
      </c>
      <c r="E281" s="23"/>
      <c r="F281" s="41"/>
      <c r="G281" s="37"/>
      <c r="H281" s="98"/>
      <c r="I281" s="23">
        <v>200000</v>
      </c>
      <c r="J281" s="23"/>
      <c r="K281" s="23"/>
      <c r="L281" s="23"/>
      <c r="M281" s="23"/>
      <c r="N281" s="23"/>
      <c r="O281" s="188"/>
      <c r="P281" s="23"/>
      <c r="Q281" s="188"/>
      <c r="R281" s="23"/>
      <c r="S281" s="98">
        <v>200000</v>
      </c>
      <c r="T281" s="23"/>
      <c r="U281" s="169"/>
      <c r="V281" s="99"/>
      <c r="W281" s="55"/>
      <c r="X281" s="56"/>
    </row>
    <row r="282" spans="1:26" ht="24.95" customHeight="1">
      <c r="A282" s="29" t="s">
        <v>57</v>
      </c>
      <c r="B282" s="21" t="s">
        <v>0</v>
      </c>
      <c r="C282" s="22" t="s">
        <v>451</v>
      </c>
      <c r="D282" s="36" t="s">
        <v>452</v>
      </c>
      <c r="E282" s="17" t="s">
        <v>1</v>
      </c>
      <c r="F282" s="17" t="s">
        <v>1</v>
      </c>
      <c r="G282" s="37" t="s">
        <v>1</v>
      </c>
      <c r="H282" s="144" t="s">
        <v>1</v>
      </c>
      <c r="I282" s="17" t="s">
        <v>1</v>
      </c>
      <c r="J282" s="17" t="s">
        <v>1</v>
      </c>
      <c r="K282" s="17" t="s">
        <v>453</v>
      </c>
      <c r="L282" s="17" t="s">
        <v>1</v>
      </c>
      <c r="M282" s="17" t="s">
        <v>1</v>
      </c>
      <c r="N282" s="17" t="s">
        <v>1</v>
      </c>
      <c r="O282" s="212" t="s">
        <v>1</v>
      </c>
      <c r="P282" s="17" t="s">
        <v>1</v>
      </c>
      <c r="Q282" s="212"/>
      <c r="R282" s="17" t="s">
        <v>1</v>
      </c>
      <c r="S282" s="144" t="s">
        <v>1</v>
      </c>
      <c r="T282" s="17" t="s">
        <v>1</v>
      </c>
      <c r="U282" s="17" t="s">
        <v>1</v>
      </c>
      <c r="V282" s="144" t="s">
        <v>1</v>
      </c>
      <c r="W282" s="67" t="s">
        <v>1</v>
      </c>
      <c r="X282" s="56"/>
    </row>
    <row r="283" spans="1:26" ht="24.95" customHeight="1">
      <c r="A283" s="29" t="s">
        <v>58</v>
      </c>
      <c r="B283" s="21" t="s">
        <v>0</v>
      </c>
      <c r="C283" s="22" t="s">
        <v>454</v>
      </c>
      <c r="D283" s="138" t="s">
        <v>455</v>
      </c>
      <c r="E283" s="23">
        <v>120000</v>
      </c>
      <c r="F283" s="41">
        <f t="shared" si="49"/>
        <v>0.7160995</v>
      </c>
      <c r="G283" s="37">
        <v>243</v>
      </c>
      <c r="H283" s="98">
        <f>I283+J283</f>
        <v>85931.94</v>
      </c>
      <c r="I283" s="23">
        <v>0</v>
      </c>
      <c r="J283" s="23">
        <f>K283+L283</f>
        <v>85931.94</v>
      </c>
      <c r="K283" s="23">
        <v>0</v>
      </c>
      <c r="L283" s="23">
        <v>85931.94</v>
      </c>
      <c r="M283" s="23">
        <f>N283+P283</f>
        <v>5059.45</v>
      </c>
      <c r="N283" s="23">
        <v>4047.56</v>
      </c>
      <c r="O283" s="188">
        <v>4050</v>
      </c>
      <c r="P283" s="23">
        <v>1011.89</v>
      </c>
      <c r="Q283" s="188">
        <v>1012</v>
      </c>
      <c r="R283" s="23">
        <v>0</v>
      </c>
      <c r="S283" s="98">
        <v>84200</v>
      </c>
      <c r="T283" s="23">
        <f>J283/5000*100</f>
        <v>1718.6388000000002</v>
      </c>
      <c r="U283" s="169">
        <v>1700</v>
      </c>
      <c r="V283" s="99">
        <f t="shared" ref="V283:V284" si="52">U283*2</f>
        <v>3400</v>
      </c>
      <c r="W283" s="55">
        <f>H283-R283-S283-U283</f>
        <v>31.940000000002328</v>
      </c>
      <c r="X283" s="56"/>
    </row>
    <row r="284" spans="1:26" ht="24.95" customHeight="1">
      <c r="A284" s="29" t="s">
        <v>59</v>
      </c>
      <c r="B284" s="21" t="s">
        <v>0</v>
      </c>
      <c r="C284" s="22" t="s">
        <v>456</v>
      </c>
      <c r="D284" s="138" t="s">
        <v>457</v>
      </c>
      <c r="E284" s="23">
        <v>150000</v>
      </c>
      <c r="F284" s="41">
        <f t="shared" si="49"/>
        <v>0.74124639999999997</v>
      </c>
      <c r="G284" s="37">
        <v>259</v>
      </c>
      <c r="H284" s="98">
        <f>I284+J284</f>
        <v>111186.95999999999</v>
      </c>
      <c r="I284" s="23">
        <f>SUM(I285:I295)</f>
        <v>71200</v>
      </c>
      <c r="J284" s="23">
        <f>K284+L284</f>
        <v>39986.959999999999</v>
      </c>
      <c r="K284" s="23">
        <v>0</v>
      </c>
      <c r="L284" s="23">
        <v>39986.959999999999</v>
      </c>
      <c r="M284" s="23">
        <f>N284+P284</f>
        <v>1975.05</v>
      </c>
      <c r="N284" s="23">
        <v>1580.04</v>
      </c>
      <c r="O284" s="188">
        <v>1580</v>
      </c>
      <c r="P284" s="23">
        <v>395.01</v>
      </c>
      <c r="Q284" s="188">
        <v>396</v>
      </c>
      <c r="R284" s="23">
        <v>0</v>
      </c>
      <c r="S284" s="98">
        <v>110400</v>
      </c>
      <c r="T284" s="23">
        <f>J284/5000*100</f>
        <v>799.73919999999998</v>
      </c>
      <c r="U284" s="169">
        <v>800</v>
      </c>
      <c r="V284" s="99">
        <f t="shared" si="52"/>
        <v>1600</v>
      </c>
      <c r="W284" s="55">
        <f>H284-R284-S284-U284</f>
        <v>-13.040000000008149</v>
      </c>
      <c r="X284" s="56"/>
    </row>
    <row r="285" spans="1:26" ht="24.95" hidden="1" customHeight="1">
      <c r="A285" s="29"/>
      <c r="B285" s="21"/>
      <c r="C285" s="22"/>
      <c r="D285" s="138" t="s">
        <v>458</v>
      </c>
      <c r="E285" s="139"/>
      <c r="F285" s="41" t="e">
        <f t="shared" si="49"/>
        <v>#DIV/0!</v>
      </c>
      <c r="G285" s="37"/>
      <c r="H285" s="98"/>
      <c r="I285" s="23">
        <v>5000</v>
      </c>
      <c r="J285" s="23"/>
      <c r="K285" s="23"/>
      <c r="L285" s="23"/>
      <c r="M285" s="23"/>
      <c r="N285" s="23"/>
      <c r="O285" s="188"/>
      <c r="P285" s="23"/>
      <c r="Q285" s="188"/>
      <c r="R285" s="23"/>
      <c r="S285" s="98"/>
      <c r="T285" s="23"/>
      <c r="U285" s="169"/>
      <c r="V285" s="99"/>
      <c r="W285" s="55"/>
      <c r="X285" s="56"/>
    </row>
    <row r="286" spans="1:26" ht="24.95" hidden="1" customHeight="1">
      <c r="A286" s="29"/>
      <c r="B286" s="21"/>
      <c r="C286" s="22"/>
      <c r="D286" s="138" t="s">
        <v>459</v>
      </c>
      <c r="E286" s="139"/>
      <c r="F286" s="41" t="e">
        <f t="shared" si="49"/>
        <v>#DIV/0!</v>
      </c>
      <c r="G286" s="37"/>
      <c r="H286" s="98"/>
      <c r="I286" s="23">
        <v>8000</v>
      </c>
      <c r="J286" s="23"/>
      <c r="K286" s="23"/>
      <c r="L286" s="23"/>
      <c r="M286" s="23"/>
      <c r="N286" s="23"/>
      <c r="O286" s="188"/>
      <c r="P286" s="23"/>
      <c r="Q286" s="188"/>
      <c r="R286" s="23"/>
      <c r="S286" s="98"/>
      <c r="T286" s="23"/>
      <c r="U286" s="169"/>
      <c r="V286" s="99"/>
      <c r="W286" s="55"/>
      <c r="X286" s="56"/>
    </row>
    <row r="287" spans="1:26" ht="24.95" hidden="1" customHeight="1">
      <c r="A287" s="29"/>
      <c r="B287" s="21"/>
      <c r="C287" s="22"/>
      <c r="D287" s="138" t="s">
        <v>460</v>
      </c>
      <c r="E287" s="139"/>
      <c r="F287" s="41" t="e">
        <f t="shared" si="49"/>
        <v>#DIV/0!</v>
      </c>
      <c r="G287" s="37"/>
      <c r="H287" s="98"/>
      <c r="I287" s="23">
        <v>2000</v>
      </c>
      <c r="J287" s="23"/>
      <c r="K287" s="23"/>
      <c r="L287" s="23"/>
      <c r="M287" s="23"/>
      <c r="N287" s="23"/>
      <c r="O287" s="188"/>
      <c r="P287" s="23"/>
      <c r="Q287" s="188"/>
      <c r="R287" s="23"/>
      <c r="S287" s="98"/>
      <c r="T287" s="23"/>
      <c r="U287" s="169"/>
      <c r="V287" s="99"/>
      <c r="W287" s="55"/>
      <c r="X287" s="56"/>
    </row>
    <row r="288" spans="1:26" ht="24.95" hidden="1" customHeight="1">
      <c r="A288" s="29"/>
      <c r="B288" s="21"/>
      <c r="C288" s="22"/>
      <c r="D288" s="138" t="s">
        <v>461</v>
      </c>
      <c r="E288" s="139"/>
      <c r="F288" s="41"/>
      <c r="G288" s="37"/>
      <c r="H288" s="98"/>
      <c r="I288" s="23">
        <v>8000</v>
      </c>
      <c r="J288" s="23"/>
      <c r="K288" s="23"/>
      <c r="L288" s="23"/>
      <c r="M288" s="23"/>
      <c r="N288" s="23"/>
      <c r="O288" s="188"/>
      <c r="P288" s="23"/>
      <c r="Q288" s="188"/>
      <c r="R288" s="23"/>
      <c r="S288" s="98"/>
      <c r="T288" s="23"/>
      <c r="U288" s="169"/>
      <c r="V288" s="99"/>
      <c r="W288" s="55"/>
      <c r="X288" s="56"/>
    </row>
    <row r="289" spans="1:26" ht="24.95" hidden="1" customHeight="1">
      <c r="A289" s="29"/>
      <c r="B289" s="21"/>
      <c r="C289" s="22"/>
      <c r="D289" s="138" t="s">
        <v>462</v>
      </c>
      <c r="E289" s="139"/>
      <c r="F289" s="41"/>
      <c r="G289" s="37"/>
      <c r="H289" s="98"/>
      <c r="I289" s="47">
        <v>8000</v>
      </c>
      <c r="J289" s="23"/>
      <c r="K289" s="23"/>
      <c r="L289" s="23"/>
      <c r="M289" s="23"/>
      <c r="N289" s="23"/>
      <c r="O289" s="188"/>
      <c r="P289" s="23"/>
      <c r="Q289" s="188"/>
      <c r="R289" s="23"/>
      <c r="S289" s="98"/>
      <c r="T289" s="23"/>
      <c r="U289" s="169"/>
      <c r="V289" s="99"/>
      <c r="W289" s="55"/>
      <c r="X289" s="56"/>
    </row>
    <row r="290" spans="1:26" ht="24.95" hidden="1" customHeight="1">
      <c r="A290" s="29"/>
      <c r="B290" s="21"/>
      <c r="C290" s="22"/>
      <c r="D290" s="138" t="s">
        <v>463</v>
      </c>
      <c r="E290" s="139"/>
      <c r="F290" s="41"/>
      <c r="G290" s="37"/>
      <c r="H290" s="98"/>
      <c r="I290" s="47">
        <v>8000</v>
      </c>
      <c r="J290" s="23"/>
      <c r="K290" s="23"/>
      <c r="L290" s="23"/>
      <c r="M290" s="23"/>
      <c r="N290" s="23"/>
      <c r="O290" s="188"/>
      <c r="P290" s="23"/>
      <c r="Q290" s="188"/>
      <c r="R290" s="23"/>
      <c r="S290" s="98"/>
      <c r="T290" s="23"/>
      <c r="U290" s="169"/>
      <c r="V290" s="99"/>
      <c r="W290" s="55"/>
      <c r="X290" s="56"/>
    </row>
    <row r="291" spans="1:26" ht="24.95" hidden="1" customHeight="1">
      <c r="A291" s="29"/>
      <c r="B291" s="21"/>
      <c r="C291" s="22"/>
      <c r="D291" s="138" t="s">
        <v>464</v>
      </c>
      <c r="E291" s="139"/>
      <c r="F291" s="41"/>
      <c r="G291" s="37"/>
      <c r="H291" s="98"/>
      <c r="I291" s="47">
        <v>8000</v>
      </c>
      <c r="J291" s="23"/>
      <c r="K291" s="23"/>
      <c r="L291" s="23"/>
      <c r="M291" s="23"/>
      <c r="N291" s="23"/>
      <c r="O291" s="188"/>
      <c r="P291" s="23"/>
      <c r="Q291" s="188"/>
      <c r="R291" s="23"/>
      <c r="S291" s="98"/>
      <c r="T291" s="23"/>
      <c r="U291" s="169"/>
      <c r="V291" s="99"/>
      <c r="W291" s="55"/>
      <c r="X291" s="56"/>
    </row>
    <row r="292" spans="1:26" ht="24.95" hidden="1" customHeight="1">
      <c r="A292" s="29"/>
      <c r="B292" s="21"/>
      <c r="C292" s="22"/>
      <c r="D292" s="138" t="s">
        <v>465</v>
      </c>
      <c r="E292" s="139"/>
      <c r="F292" s="41"/>
      <c r="G292" s="37"/>
      <c r="H292" s="98"/>
      <c r="I292" s="47">
        <v>3000</v>
      </c>
      <c r="J292" s="23"/>
      <c r="K292" s="23"/>
      <c r="L292" s="23"/>
      <c r="M292" s="23"/>
      <c r="N292" s="23"/>
      <c r="O292" s="188"/>
      <c r="P292" s="23"/>
      <c r="Q292" s="188"/>
      <c r="R292" s="23"/>
      <c r="S292" s="98"/>
      <c r="T292" s="23"/>
      <c r="U292" s="169"/>
      <c r="V292" s="99"/>
      <c r="W292" s="55"/>
      <c r="X292" s="56"/>
    </row>
    <row r="293" spans="1:26" ht="24.95" hidden="1" customHeight="1">
      <c r="A293" s="29"/>
      <c r="B293" s="21"/>
      <c r="C293" s="22"/>
      <c r="D293" s="138" t="s">
        <v>466</v>
      </c>
      <c r="E293" s="139"/>
      <c r="F293" s="41"/>
      <c r="G293" s="37"/>
      <c r="H293" s="98"/>
      <c r="I293" s="47">
        <v>8000</v>
      </c>
      <c r="J293" s="23"/>
      <c r="K293" s="23"/>
      <c r="L293" s="23"/>
      <c r="M293" s="23"/>
      <c r="N293" s="23"/>
      <c r="O293" s="188"/>
      <c r="P293" s="23"/>
      <c r="Q293" s="188"/>
      <c r="R293" s="23"/>
      <c r="S293" s="98"/>
      <c r="T293" s="23"/>
      <c r="U293" s="169"/>
      <c r="V293" s="99"/>
      <c r="W293" s="55"/>
      <c r="X293" s="56"/>
    </row>
    <row r="294" spans="1:26" ht="24.95" hidden="1" customHeight="1">
      <c r="A294" s="29"/>
      <c r="B294" s="21"/>
      <c r="C294" s="22"/>
      <c r="D294" s="138" t="s">
        <v>467</v>
      </c>
      <c r="E294" s="139"/>
      <c r="F294" s="41"/>
      <c r="G294" s="37"/>
      <c r="H294" s="98"/>
      <c r="I294" s="47">
        <v>5200</v>
      </c>
      <c r="J294" s="23"/>
      <c r="K294" s="23"/>
      <c r="L294" s="23"/>
      <c r="M294" s="23"/>
      <c r="N294" s="23"/>
      <c r="O294" s="188"/>
      <c r="P294" s="23"/>
      <c r="Q294" s="188"/>
      <c r="R294" s="23"/>
      <c r="S294" s="98"/>
      <c r="T294" s="23"/>
      <c r="U294" s="169"/>
      <c r="V294" s="99"/>
      <c r="W294" s="55"/>
      <c r="X294" s="56"/>
    </row>
    <row r="295" spans="1:26" ht="24.95" hidden="1" customHeight="1">
      <c r="A295" s="29"/>
      <c r="B295" s="21"/>
      <c r="C295" s="22"/>
      <c r="D295" s="138" t="s">
        <v>468</v>
      </c>
      <c r="E295" s="139"/>
      <c r="F295" s="41"/>
      <c r="G295" s="37"/>
      <c r="H295" s="98"/>
      <c r="I295" s="47">
        <v>8000</v>
      </c>
      <c r="J295" s="23"/>
      <c r="K295" s="23"/>
      <c r="L295" s="23"/>
      <c r="M295" s="23"/>
      <c r="N295" s="23"/>
      <c r="O295" s="188"/>
      <c r="P295" s="23"/>
      <c r="Q295" s="188"/>
      <c r="R295" s="23"/>
      <c r="S295" s="98"/>
      <c r="T295" s="23"/>
      <c r="U295" s="169"/>
      <c r="V295" s="99"/>
      <c r="W295" s="55"/>
      <c r="X295" s="56"/>
    </row>
    <row r="296" spans="1:26" ht="24.95" customHeight="1">
      <c r="A296" s="29" t="s">
        <v>60</v>
      </c>
      <c r="B296" s="21" t="s">
        <v>0</v>
      </c>
      <c r="C296" s="22" t="s">
        <v>469</v>
      </c>
      <c r="D296" s="138" t="s">
        <v>470</v>
      </c>
      <c r="E296" s="23">
        <v>120000</v>
      </c>
      <c r="F296" s="41">
        <f t="shared" si="49"/>
        <v>1.0100349166666667</v>
      </c>
      <c r="G296" s="37">
        <v>252</v>
      </c>
      <c r="H296" s="98">
        <f>I296+J296</f>
        <v>121204.19</v>
      </c>
      <c r="I296" s="23">
        <f>SUM(I297:I302)</f>
        <v>43000</v>
      </c>
      <c r="J296" s="23">
        <f>K296+L296</f>
        <v>78204.19</v>
      </c>
      <c r="K296" s="23">
        <v>0</v>
      </c>
      <c r="L296" s="23">
        <v>78204.19</v>
      </c>
      <c r="M296" s="23">
        <f>N296+P296</f>
        <v>5033.76</v>
      </c>
      <c r="N296" s="23">
        <f>4022.76+4.04+0.21</f>
        <v>4027.01</v>
      </c>
      <c r="O296" s="188">
        <v>4030</v>
      </c>
      <c r="P296" s="23">
        <f>1005.69+1.01+0.05</f>
        <v>1006.75</v>
      </c>
      <c r="Q296" s="188">
        <v>1007</v>
      </c>
      <c r="R296" s="23">
        <v>0</v>
      </c>
      <c r="S296" s="98">
        <v>119700</v>
      </c>
      <c r="T296" s="23">
        <f>J296/5000*100</f>
        <v>1564.0838000000001</v>
      </c>
      <c r="U296" s="169">
        <v>1500</v>
      </c>
      <c r="V296" s="99">
        <f t="shared" ref="V296" si="53">U296*2</f>
        <v>3000</v>
      </c>
      <c r="W296" s="55">
        <f>H296-R296-S296-U296</f>
        <v>4.1900000000023283</v>
      </c>
      <c r="X296" s="56"/>
    </row>
    <row r="297" spans="1:26" ht="24.95" hidden="1" customHeight="1">
      <c r="A297" s="29"/>
      <c r="B297" s="21"/>
      <c r="C297" s="22"/>
      <c r="D297" s="138" t="s">
        <v>471</v>
      </c>
      <c r="E297" s="23"/>
      <c r="F297" s="41"/>
      <c r="G297" s="37"/>
      <c r="H297" s="98"/>
      <c r="I297" s="23">
        <v>7000</v>
      </c>
      <c r="J297" s="23"/>
      <c r="K297" s="23"/>
      <c r="L297" s="23"/>
      <c r="M297" s="23"/>
      <c r="N297" s="23"/>
      <c r="O297" s="188"/>
      <c r="P297" s="23"/>
      <c r="Q297" s="188"/>
      <c r="R297" s="23"/>
      <c r="S297" s="98"/>
      <c r="T297" s="23"/>
      <c r="U297" s="169"/>
      <c r="V297" s="99"/>
      <c r="W297" s="55"/>
      <c r="X297" s="56"/>
    </row>
    <row r="298" spans="1:26" ht="24.95" hidden="1" customHeight="1">
      <c r="A298" s="29"/>
      <c r="B298" s="21"/>
      <c r="C298" s="22"/>
      <c r="D298" s="138" t="s">
        <v>471</v>
      </c>
      <c r="E298" s="23"/>
      <c r="F298" s="41"/>
      <c r="G298" s="37"/>
      <c r="H298" s="98"/>
      <c r="I298" s="23">
        <v>8000</v>
      </c>
      <c r="J298" s="23"/>
      <c r="K298" s="23"/>
      <c r="L298" s="23"/>
      <c r="M298" s="23"/>
      <c r="N298" s="23"/>
      <c r="O298" s="188"/>
      <c r="P298" s="23"/>
      <c r="Q298" s="188"/>
      <c r="R298" s="23"/>
      <c r="S298" s="98"/>
      <c r="T298" s="23"/>
      <c r="U298" s="169"/>
      <c r="V298" s="99"/>
      <c r="W298" s="55"/>
      <c r="X298" s="56"/>
    </row>
    <row r="299" spans="1:26" ht="24.95" hidden="1" customHeight="1">
      <c r="A299" s="29"/>
      <c r="B299" s="21"/>
      <c r="C299" s="22"/>
      <c r="D299" s="138" t="s">
        <v>472</v>
      </c>
      <c r="E299" s="23"/>
      <c r="F299" s="41"/>
      <c r="G299" s="37"/>
      <c r="H299" s="98"/>
      <c r="I299" s="23">
        <v>15000</v>
      </c>
      <c r="J299" s="23"/>
      <c r="K299" s="23"/>
      <c r="L299" s="23"/>
      <c r="M299" s="23"/>
      <c r="N299" s="23"/>
      <c r="O299" s="188"/>
      <c r="P299" s="23"/>
      <c r="Q299" s="188"/>
      <c r="R299" s="23"/>
      <c r="S299" s="98"/>
      <c r="T299" s="23"/>
      <c r="U299" s="169"/>
      <c r="V299" s="99"/>
      <c r="W299" s="55"/>
      <c r="X299" s="56"/>
    </row>
    <row r="300" spans="1:26" ht="24.95" hidden="1" customHeight="1">
      <c r="A300" s="29"/>
      <c r="B300" s="21"/>
      <c r="C300" s="22"/>
      <c r="D300" s="138" t="s">
        <v>473</v>
      </c>
      <c r="E300" s="23"/>
      <c r="F300" s="41"/>
      <c r="G300" s="37"/>
      <c r="H300" s="98"/>
      <c r="I300" s="23">
        <v>3000</v>
      </c>
      <c r="J300" s="23"/>
      <c r="K300" s="23"/>
      <c r="L300" s="23"/>
      <c r="M300" s="23"/>
      <c r="N300" s="23"/>
      <c r="O300" s="188"/>
      <c r="P300" s="23"/>
      <c r="Q300" s="188"/>
      <c r="R300" s="23"/>
      <c r="S300" s="98"/>
      <c r="T300" s="23"/>
      <c r="U300" s="169"/>
      <c r="V300" s="99"/>
      <c r="W300" s="55"/>
      <c r="X300" s="56"/>
    </row>
    <row r="301" spans="1:26" ht="24.95" hidden="1" customHeight="1">
      <c r="A301" s="29"/>
      <c r="B301" s="21"/>
      <c r="C301" s="22"/>
      <c r="D301" s="138" t="s">
        <v>474</v>
      </c>
      <c r="E301" s="23"/>
      <c r="F301" s="41"/>
      <c r="G301" s="37"/>
      <c r="H301" s="98"/>
      <c r="I301" s="23">
        <v>5000</v>
      </c>
      <c r="J301" s="23"/>
      <c r="K301" s="23"/>
      <c r="L301" s="23"/>
      <c r="M301" s="23"/>
      <c r="N301" s="23"/>
      <c r="O301" s="188"/>
      <c r="P301" s="23"/>
      <c r="Q301" s="188"/>
      <c r="R301" s="23"/>
      <c r="S301" s="98"/>
      <c r="T301" s="23"/>
      <c r="U301" s="169"/>
      <c r="V301" s="99"/>
      <c r="W301" s="55"/>
      <c r="X301" s="56"/>
    </row>
    <row r="302" spans="1:26" ht="24.95" hidden="1" customHeight="1">
      <c r="A302" s="29"/>
      <c r="B302" s="21"/>
      <c r="C302" s="22"/>
      <c r="D302" s="213" t="s">
        <v>61</v>
      </c>
      <c r="E302" s="23"/>
      <c r="F302" s="41"/>
      <c r="G302" s="37"/>
      <c r="H302" s="98"/>
      <c r="I302" s="196">
        <v>5000</v>
      </c>
      <c r="J302" s="23"/>
      <c r="K302" s="23"/>
      <c r="L302" s="23"/>
      <c r="M302" s="23"/>
      <c r="N302" s="23"/>
      <c r="O302" s="188"/>
      <c r="P302" s="23"/>
      <c r="Q302" s="188"/>
      <c r="R302" s="23"/>
      <c r="S302" s="98"/>
      <c r="T302" s="23"/>
      <c r="U302" s="169"/>
      <c r="V302" s="99"/>
      <c r="W302" s="55"/>
      <c r="X302" s="56"/>
    </row>
    <row r="303" spans="1:26" ht="24.95" customHeight="1">
      <c r="A303" s="29" t="s">
        <v>62</v>
      </c>
      <c r="B303" s="21" t="s">
        <v>0</v>
      </c>
      <c r="C303" s="22" t="s">
        <v>475</v>
      </c>
      <c r="D303" s="138" t="s">
        <v>476</v>
      </c>
      <c r="E303" s="23">
        <v>120000</v>
      </c>
      <c r="F303" s="41">
        <f t="shared" si="49"/>
        <v>0.22608483333333335</v>
      </c>
      <c r="G303" s="37">
        <v>9</v>
      </c>
      <c r="H303" s="98">
        <f>I303+J303</f>
        <v>27130.18</v>
      </c>
      <c r="I303" s="23">
        <v>0</v>
      </c>
      <c r="J303" s="23">
        <f>K303+L303</f>
        <v>27130.18</v>
      </c>
      <c r="K303" s="23">
        <v>0</v>
      </c>
      <c r="L303" s="23">
        <v>27130.18</v>
      </c>
      <c r="M303" s="23">
        <f>N303+P303</f>
        <v>3.76</v>
      </c>
      <c r="N303" s="23">
        <v>3.01</v>
      </c>
      <c r="O303" s="188">
        <v>0</v>
      </c>
      <c r="P303" s="23">
        <v>0.75</v>
      </c>
      <c r="Q303" s="188">
        <v>0</v>
      </c>
      <c r="R303" s="23">
        <v>0</v>
      </c>
      <c r="S303" s="98">
        <v>26600</v>
      </c>
      <c r="T303" s="23">
        <f>J303/5000*100</f>
        <v>542.60360000000003</v>
      </c>
      <c r="U303" s="169">
        <v>500</v>
      </c>
      <c r="V303" s="99">
        <f t="shared" ref="V303" si="54">U303*2</f>
        <v>1000</v>
      </c>
      <c r="W303" s="55">
        <f>H303-R303-S303-U303</f>
        <v>30.180000000000291</v>
      </c>
      <c r="X303" s="56"/>
    </row>
    <row r="304" spans="1:26" s="180" customFormat="1" ht="24.95" customHeight="1">
      <c r="A304" s="244" t="s">
        <v>477</v>
      </c>
      <c r="B304" s="245"/>
      <c r="C304" s="245"/>
      <c r="D304" s="245"/>
      <c r="E304" s="245"/>
      <c r="F304" s="245"/>
      <c r="G304" s="245"/>
      <c r="H304" s="245"/>
      <c r="I304" s="245"/>
      <c r="J304" s="245"/>
      <c r="K304" s="245"/>
      <c r="L304" s="245"/>
      <c r="M304" s="245"/>
      <c r="N304" s="245"/>
      <c r="O304" s="245"/>
      <c r="P304" s="245"/>
      <c r="Q304" s="245"/>
      <c r="R304" s="245"/>
      <c r="S304" s="245"/>
      <c r="T304" s="245"/>
      <c r="U304" s="245"/>
      <c r="V304" s="245"/>
      <c r="W304" s="251"/>
      <c r="X304" s="183"/>
      <c r="Z304" s="182"/>
    </row>
    <row r="305" spans="1:27" s="180" customFormat="1" ht="24.95" customHeight="1">
      <c r="A305" s="15" t="s">
        <v>478</v>
      </c>
      <c r="B305" s="35" t="s">
        <v>0</v>
      </c>
      <c r="C305" s="10" t="s">
        <v>479</v>
      </c>
      <c r="D305" s="10" t="s">
        <v>480</v>
      </c>
      <c r="E305" s="19">
        <v>1450000</v>
      </c>
      <c r="F305" s="39">
        <f>H305/E305</f>
        <v>0.31449372413793103</v>
      </c>
      <c r="G305" s="18">
        <f>G306+G307+G308+G310+G311+G312+G316+G317+G318</f>
        <v>11547</v>
      </c>
      <c r="H305" s="97">
        <f>I305+J305</f>
        <v>456015.9</v>
      </c>
      <c r="I305" s="19">
        <f>I306+I307+I308+I310+I311+I312+I316+I317+I318</f>
        <v>200000</v>
      </c>
      <c r="J305" s="19">
        <f>K305+L305</f>
        <v>256015.9</v>
      </c>
      <c r="K305" s="19">
        <v>0</v>
      </c>
      <c r="L305" s="19">
        <f>SUM(L306:L318)</f>
        <v>256015.9</v>
      </c>
      <c r="M305" s="19">
        <f t="shared" ref="M305:V305" si="55">M306+M307+M308+M310+M311+M312+M316+M317+M318</f>
        <v>24329.22</v>
      </c>
      <c r="N305" s="19">
        <f t="shared" si="55"/>
        <v>19463.39</v>
      </c>
      <c r="O305" s="186">
        <f t="shared" si="55"/>
        <v>19470</v>
      </c>
      <c r="P305" s="19">
        <f t="shared" si="55"/>
        <v>4865.83</v>
      </c>
      <c r="Q305" s="186">
        <f t="shared" si="55"/>
        <v>4866</v>
      </c>
      <c r="R305" s="19">
        <f t="shared" si="55"/>
        <v>0</v>
      </c>
      <c r="S305" s="19">
        <f t="shared" si="55"/>
        <v>451100</v>
      </c>
      <c r="T305" s="19">
        <f t="shared" si="55"/>
        <v>5120.3180000000002</v>
      </c>
      <c r="U305" s="19">
        <f t="shared" si="55"/>
        <v>4900</v>
      </c>
      <c r="V305" s="97">
        <f t="shared" si="55"/>
        <v>9800</v>
      </c>
      <c r="W305" s="52">
        <f>H305-R305-S305-U305</f>
        <v>15.900000000023283</v>
      </c>
      <c r="X305" s="58"/>
      <c r="Z305" s="182"/>
    </row>
    <row r="306" spans="1:27" s="180" customFormat="1" ht="24.95" customHeight="1">
      <c r="A306" s="29" t="s">
        <v>481</v>
      </c>
      <c r="B306" s="21" t="s">
        <v>0</v>
      </c>
      <c r="C306" s="25" t="s">
        <v>482</v>
      </c>
      <c r="D306" s="138" t="s">
        <v>483</v>
      </c>
      <c r="E306" s="23">
        <v>170000</v>
      </c>
      <c r="F306" s="41">
        <f t="shared" ref="F306:F318" si="56">H306/E306</f>
        <v>7.4705882352941175E-4</v>
      </c>
      <c r="G306" s="18">
        <v>5</v>
      </c>
      <c r="H306" s="98">
        <f>I306+J306</f>
        <v>127</v>
      </c>
      <c r="I306" s="23">
        <v>0</v>
      </c>
      <c r="J306" s="23">
        <f>K306+L306</f>
        <v>127</v>
      </c>
      <c r="K306" s="23">
        <v>0</v>
      </c>
      <c r="L306" s="23">
        <v>127</v>
      </c>
      <c r="M306" s="23">
        <f>N306+P306</f>
        <v>2.7</v>
      </c>
      <c r="N306" s="23">
        <v>2.16</v>
      </c>
      <c r="O306" s="188">
        <v>0</v>
      </c>
      <c r="P306" s="23">
        <v>0.54</v>
      </c>
      <c r="Q306" s="188">
        <v>0</v>
      </c>
      <c r="R306" s="23">
        <v>0</v>
      </c>
      <c r="S306" s="98">
        <v>0</v>
      </c>
      <c r="T306" s="23">
        <f>J306/5000*100</f>
        <v>2.54</v>
      </c>
      <c r="U306" s="169">
        <v>0</v>
      </c>
      <c r="V306" s="99">
        <f t="shared" ref="V306:V308" si="57">U306*2</f>
        <v>0</v>
      </c>
      <c r="W306" s="55">
        <f>H306-R306-S306-U306</f>
        <v>127</v>
      </c>
      <c r="X306" s="58"/>
      <c r="Z306" s="182"/>
    </row>
    <row r="307" spans="1:27" ht="24.95" customHeight="1">
      <c r="A307" s="29" t="s">
        <v>63</v>
      </c>
      <c r="B307" s="21" t="s">
        <v>0</v>
      </c>
      <c r="C307" s="25" t="s">
        <v>484</v>
      </c>
      <c r="D307" s="22" t="s">
        <v>64</v>
      </c>
      <c r="E307" s="23">
        <v>150000</v>
      </c>
      <c r="F307" s="41">
        <f t="shared" si="56"/>
        <v>0.15855333333333332</v>
      </c>
      <c r="G307" s="26">
        <v>33</v>
      </c>
      <c r="H307" s="98">
        <f t="shared" ref="H307:H310" si="58">I307+J307</f>
        <v>23783</v>
      </c>
      <c r="I307" s="23">
        <v>0</v>
      </c>
      <c r="J307" s="23">
        <f t="shared" ref="J307:J311" si="59">K307+L307</f>
        <v>23783</v>
      </c>
      <c r="K307" s="23">
        <v>0</v>
      </c>
      <c r="L307" s="23">
        <v>23783</v>
      </c>
      <c r="M307" s="23">
        <f>N307+P307</f>
        <v>2029.5800000000002</v>
      </c>
      <c r="N307" s="23">
        <v>1623.67</v>
      </c>
      <c r="O307" s="188">
        <v>1630</v>
      </c>
      <c r="P307" s="23">
        <v>405.91</v>
      </c>
      <c r="Q307" s="188">
        <v>406</v>
      </c>
      <c r="R307" s="23">
        <v>0</v>
      </c>
      <c r="S307" s="98">
        <v>23400</v>
      </c>
      <c r="T307" s="23">
        <f>J307/5000*100</f>
        <v>475.65999999999997</v>
      </c>
      <c r="U307" s="169">
        <v>400</v>
      </c>
      <c r="V307" s="99">
        <f t="shared" si="57"/>
        <v>800</v>
      </c>
      <c r="W307" s="55">
        <f>H307-R307-S307-U307</f>
        <v>-17</v>
      </c>
      <c r="X307" s="61"/>
    </row>
    <row r="308" spans="1:27" ht="24.95" customHeight="1">
      <c r="A308" s="29" t="s">
        <v>65</v>
      </c>
      <c r="B308" s="21" t="s">
        <v>0</v>
      </c>
      <c r="C308" s="25" t="s">
        <v>485</v>
      </c>
      <c r="D308" s="22" t="s">
        <v>66</v>
      </c>
      <c r="E308" s="23">
        <v>120000</v>
      </c>
      <c r="F308" s="41">
        <f t="shared" si="56"/>
        <v>0.89674083333333332</v>
      </c>
      <c r="G308" s="26">
        <v>138</v>
      </c>
      <c r="H308" s="98">
        <f t="shared" si="58"/>
        <v>107608.9</v>
      </c>
      <c r="I308" s="23">
        <f>I309</f>
        <v>100000</v>
      </c>
      <c r="J308" s="23">
        <f t="shared" si="59"/>
        <v>7608.9</v>
      </c>
      <c r="K308" s="23">
        <v>0</v>
      </c>
      <c r="L308" s="23">
        <v>7608.9</v>
      </c>
      <c r="M308" s="23">
        <f>N308+P308</f>
        <v>433.15</v>
      </c>
      <c r="N308" s="23">
        <v>346.52</v>
      </c>
      <c r="O308" s="188">
        <v>350</v>
      </c>
      <c r="P308" s="23">
        <v>86.63</v>
      </c>
      <c r="Q308" s="188">
        <v>87</v>
      </c>
      <c r="R308" s="23">
        <v>0</v>
      </c>
      <c r="S308" s="98">
        <v>107500</v>
      </c>
      <c r="T308" s="23">
        <f>J308/5000*100</f>
        <v>152.178</v>
      </c>
      <c r="U308" s="169">
        <v>100</v>
      </c>
      <c r="V308" s="99">
        <f t="shared" si="57"/>
        <v>200</v>
      </c>
      <c r="W308" s="55">
        <f>H308-R308-S308-U308</f>
        <v>8.8999999999941792</v>
      </c>
      <c r="X308" s="61"/>
    </row>
    <row r="309" spans="1:27" ht="24.95" hidden="1" customHeight="1">
      <c r="A309" s="29"/>
      <c r="B309" s="21"/>
      <c r="C309" s="25"/>
      <c r="D309" s="22" t="s">
        <v>486</v>
      </c>
      <c r="E309" s="23"/>
      <c r="F309" s="41"/>
      <c r="G309" s="26"/>
      <c r="H309" s="98"/>
      <c r="I309" s="23">
        <v>100000</v>
      </c>
      <c r="J309" s="23"/>
      <c r="K309" s="23"/>
      <c r="L309" s="23"/>
      <c r="M309" s="23"/>
      <c r="N309" s="23"/>
      <c r="O309" s="188"/>
      <c r="P309" s="23"/>
      <c r="Q309" s="188"/>
      <c r="R309" s="23"/>
      <c r="S309" s="98"/>
      <c r="T309" s="23"/>
      <c r="U309" s="169"/>
      <c r="V309" s="99"/>
      <c r="W309" s="55"/>
      <c r="X309" s="61"/>
    </row>
    <row r="310" spans="1:27" ht="24.95" customHeight="1">
      <c r="A310" s="29" t="s">
        <v>67</v>
      </c>
      <c r="B310" s="21" t="s">
        <v>0</v>
      </c>
      <c r="C310" s="25" t="s">
        <v>487</v>
      </c>
      <c r="D310" s="22" t="s">
        <v>68</v>
      </c>
      <c r="E310" s="23">
        <v>220000</v>
      </c>
      <c r="F310" s="41">
        <f t="shared" si="56"/>
        <v>0.22964090909090909</v>
      </c>
      <c r="G310" s="26">
        <v>238</v>
      </c>
      <c r="H310" s="98">
        <f t="shared" si="58"/>
        <v>50521</v>
      </c>
      <c r="I310" s="23">
        <v>0</v>
      </c>
      <c r="J310" s="23">
        <f t="shared" si="59"/>
        <v>50521</v>
      </c>
      <c r="K310" s="23">
        <v>0</v>
      </c>
      <c r="L310" s="23">
        <v>50521</v>
      </c>
      <c r="M310" s="23">
        <f>N310+P310</f>
        <v>3680.4500000000003</v>
      </c>
      <c r="N310" s="23">
        <v>2944.36</v>
      </c>
      <c r="O310" s="188">
        <v>2950</v>
      </c>
      <c r="P310" s="23">
        <v>736.09</v>
      </c>
      <c r="Q310" s="188">
        <v>736</v>
      </c>
      <c r="R310" s="23">
        <v>0</v>
      </c>
      <c r="S310" s="98">
        <v>49600</v>
      </c>
      <c r="T310" s="23">
        <f>J310/5000*100</f>
        <v>1010.4200000000001</v>
      </c>
      <c r="U310" s="169">
        <v>1000</v>
      </c>
      <c r="V310" s="99">
        <f t="shared" ref="V310:V312" si="60">U310*2</f>
        <v>2000</v>
      </c>
      <c r="W310" s="55">
        <f>H310-R310-S310-U310</f>
        <v>-79</v>
      </c>
      <c r="X310" s="61"/>
    </row>
    <row r="311" spans="1:27" ht="24.95" customHeight="1">
      <c r="A311" s="140" t="s">
        <v>488</v>
      </c>
      <c r="B311" s="21"/>
      <c r="C311" s="25" t="s">
        <v>489</v>
      </c>
      <c r="D311" s="22" t="s">
        <v>490</v>
      </c>
      <c r="E311" s="23">
        <v>150000</v>
      </c>
      <c r="F311" s="41">
        <f t="shared" si="56"/>
        <v>1.0626666666666666E-2</v>
      </c>
      <c r="G311" s="26">
        <v>49</v>
      </c>
      <c r="H311" s="98">
        <f>I311+J311</f>
        <v>1594</v>
      </c>
      <c r="I311" s="23">
        <v>0</v>
      </c>
      <c r="J311" s="23">
        <f t="shared" si="59"/>
        <v>1594</v>
      </c>
      <c r="K311" s="23">
        <v>0</v>
      </c>
      <c r="L311" s="23">
        <v>1594</v>
      </c>
      <c r="M311" s="23">
        <f>N311+P311</f>
        <v>178.35000000000002</v>
      </c>
      <c r="N311" s="23">
        <v>142.68</v>
      </c>
      <c r="O311" s="188">
        <v>200</v>
      </c>
      <c r="P311" s="23">
        <v>35.67</v>
      </c>
      <c r="Q311" s="188">
        <v>36</v>
      </c>
      <c r="R311" s="23">
        <v>0</v>
      </c>
      <c r="S311" s="98">
        <v>1600</v>
      </c>
      <c r="T311" s="23">
        <f>J311/5000*100</f>
        <v>31.879999999999995</v>
      </c>
      <c r="U311" s="169">
        <v>0</v>
      </c>
      <c r="V311" s="99">
        <f t="shared" si="60"/>
        <v>0</v>
      </c>
      <c r="W311" s="55">
        <f>H311-R311-S311-U311</f>
        <v>-6</v>
      </c>
      <c r="X311" s="61"/>
    </row>
    <row r="312" spans="1:27" ht="24.95" customHeight="1">
      <c r="A312" s="140" t="s">
        <v>491</v>
      </c>
      <c r="B312" s="21" t="s">
        <v>0</v>
      </c>
      <c r="C312" s="25" t="s">
        <v>489</v>
      </c>
      <c r="D312" s="22" t="s">
        <v>492</v>
      </c>
      <c r="E312" s="23">
        <v>150000</v>
      </c>
      <c r="F312" s="41">
        <f t="shared" si="56"/>
        <v>0.67462</v>
      </c>
      <c r="G312" s="26">
        <v>28</v>
      </c>
      <c r="H312" s="98">
        <f>I312+J312</f>
        <v>101193</v>
      </c>
      <c r="I312" s="23">
        <f>I313+I314+I315</f>
        <v>100000</v>
      </c>
      <c r="J312" s="23">
        <f>K312+L312</f>
        <v>1193</v>
      </c>
      <c r="K312" s="23">
        <v>0</v>
      </c>
      <c r="L312" s="23">
        <v>1193</v>
      </c>
      <c r="M312" s="23">
        <f>N312+P312</f>
        <v>80.45</v>
      </c>
      <c r="N312" s="23">
        <v>64.36</v>
      </c>
      <c r="O312" s="188">
        <v>0</v>
      </c>
      <c r="P312" s="23">
        <v>16.09</v>
      </c>
      <c r="Q312" s="188">
        <v>16</v>
      </c>
      <c r="R312" s="23">
        <v>0</v>
      </c>
      <c r="S312" s="98">
        <v>101200</v>
      </c>
      <c r="T312" s="23">
        <f>J312/5000*100</f>
        <v>23.86</v>
      </c>
      <c r="U312" s="169">
        <v>0</v>
      </c>
      <c r="V312" s="99">
        <f t="shared" si="60"/>
        <v>0</v>
      </c>
      <c r="W312" s="55">
        <f>H312-R312-S312-U312</f>
        <v>-7</v>
      </c>
      <c r="X312" s="61"/>
    </row>
    <row r="313" spans="1:27" ht="24.95" hidden="1" customHeight="1">
      <c r="A313" s="140"/>
      <c r="B313" s="21"/>
      <c r="C313" s="25"/>
      <c r="D313" s="22" t="s">
        <v>493</v>
      </c>
      <c r="E313" s="23"/>
      <c r="F313" s="41" t="e">
        <f>H313/E313</f>
        <v>#DIV/0!</v>
      </c>
      <c r="G313" s="26"/>
      <c r="H313" s="98"/>
      <c r="I313" s="23">
        <v>20000</v>
      </c>
      <c r="J313" s="23"/>
      <c r="K313" s="23"/>
      <c r="L313" s="23"/>
      <c r="M313" s="23"/>
      <c r="N313" s="23"/>
      <c r="O313" s="188"/>
      <c r="P313" s="23"/>
      <c r="Q313" s="188"/>
      <c r="R313" s="23"/>
      <c r="S313" s="98"/>
      <c r="T313" s="23"/>
      <c r="U313" s="169"/>
      <c r="V313" s="99"/>
      <c r="W313" s="55"/>
      <c r="X313" s="61"/>
    </row>
    <row r="314" spans="1:27" ht="24.95" hidden="1" customHeight="1">
      <c r="A314" s="140"/>
      <c r="B314" s="21"/>
      <c r="C314" s="25"/>
      <c r="D314" s="22" t="s">
        <v>494</v>
      </c>
      <c r="E314" s="23"/>
      <c r="F314" s="41" t="e">
        <f>H314/E314</f>
        <v>#DIV/0!</v>
      </c>
      <c r="G314" s="26"/>
      <c r="H314" s="98"/>
      <c r="I314" s="23">
        <v>30000</v>
      </c>
      <c r="J314" s="23"/>
      <c r="K314" s="23"/>
      <c r="L314" s="23"/>
      <c r="M314" s="23"/>
      <c r="N314" s="23"/>
      <c r="O314" s="188"/>
      <c r="P314" s="23"/>
      <c r="Q314" s="188"/>
      <c r="R314" s="23"/>
      <c r="S314" s="98"/>
      <c r="T314" s="23"/>
      <c r="U314" s="169"/>
      <c r="V314" s="99"/>
      <c r="W314" s="55"/>
      <c r="X314" s="61"/>
    </row>
    <row r="315" spans="1:27" ht="24.95" hidden="1" customHeight="1">
      <c r="A315" s="140"/>
      <c r="B315" s="21"/>
      <c r="C315" s="25"/>
      <c r="D315" s="22" t="s">
        <v>495</v>
      </c>
      <c r="E315" s="23"/>
      <c r="F315" s="41" t="e">
        <f>H315/E315</f>
        <v>#DIV/0!</v>
      </c>
      <c r="G315" s="26"/>
      <c r="H315" s="98"/>
      <c r="I315" s="23">
        <v>50000</v>
      </c>
      <c r="J315" s="23"/>
      <c r="K315" s="23"/>
      <c r="L315" s="23"/>
      <c r="M315" s="23"/>
      <c r="N315" s="23"/>
      <c r="O315" s="188"/>
      <c r="P315" s="23"/>
      <c r="Q315" s="188"/>
      <c r="R315" s="23"/>
      <c r="S315" s="98"/>
      <c r="T315" s="23"/>
      <c r="U315" s="169"/>
      <c r="V315" s="99"/>
      <c r="W315" s="55"/>
      <c r="X315" s="61"/>
    </row>
    <row r="316" spans="1:27" ht="24.95" customHeight="1">
      <c r="A316" s="29" t="s">
        <v>69</v>
      </c>
      <c r="B316" s="21" t="s">
        <v>0</v>
      </c>
      <c r="C316" s="25" t="s">
        <v>496</v>
      </c>
      <c r="D316" s="22" t="s">
        <v>70</v>
      </c>
      <c r="E316" s="23">
        <v>150000</v>
      </c>
      <c r="F316" s="41">
        <f t="shared" si="56"/>
        <v>1.0006733333333333</v>
      </c>
      <c r="G316" s="26">
        <v>10960</v>
      </c>
      <c r="H316" s="98">
        <f t="shared" ref="H316:H318" si="61">I316+J316</f>
        <v>150101</v>
      </c>
      <c r="I316" s="23">
        <v>0</v>
      </c>
      <c r="J316" s="23">
        <f t="shared" ref="J316:J318" si="62">K316+L316</f>
        <v>150101</v>
      </c>
      <c r="K316" s="23">
        <v>0</v>
      </c>
      <c r="L316" s="23">
        <v>150101</v>
      </c>
      <c r="M316" s="23">
        <f>N316+P316</f>
        <v>16577.89</v>
      </c>
      <c r="N316" s="23">
        <f>13258.75+0.33+3.24</f>
        <v>13262.32</v>
      </c>
      <c r="O316" s="188">
        <v>13260</v>
      </c>
      <c r="P316" s="23">
        <f>3314.68+0.08+0.81</f>
        <v>3315.5699999999997</v>
      </c>
      <c r="Q316" s="188">
        <v>3316</v>
      </c>
      <c r="R316" s="23">
        <v>0</v>
      </c>
      <c r="S316" s="98">
        <v>147100</v>
      </c>
      <c r="T316" s="23">
        <f>J316/5000*100</f>
        <v>3002.02</v>
      </c>
      <c r="U316" s="169">
        <v>3000</v>
      </c>
      <c r="V316" s="99">
        <f t="shared" ref="V316:V318" si="63">U316*2</f>
        <v>6000</v>
      </c>
      <c r="W316" s="55">
        <f>H316-R316-S316-U316</f>
        <v>1</v>
      </c>
      <c r="X316" s="61"/>
    </row>
    <row r="317" spans="1:27" ht="24.95" customHeight="1">
      <c r="A317" s="140" t="s">
        <v>497</v>
      </c>
      <c r="B317" s="21" t="s">
        <v>0</v>
      </c>
      <c r="C317" s="25" t="s">
        <v>498</v>
      </c>
      <c r="D317" s="22" t="s">
        <v>71</v>
      </c>
      <c r="E317" s="23">
        <v>220000</v>
      </c>
      <c r="F317" s="41">
        <f t="shared" si="56"/>
        <v>9.5718181818181813E-2</v>
      </c>
      <c r="G317" s="26">
        <v>95</v>
      </c>
      <c r="H317" s="98">
        <f t="shared" si="61"/>
        <v>21058</v>
      </c>
      <c r="I317" s="23">
        <v>0</v>
      </c>
      <c r="J317" s="23">
        <f t="shared" si="62"/>
        <v>21058</v>
      </c>
      <c r="K317" s="23">
        <v>0</v>
      </c>
      <c r="L317" s="23">
        <v>21058</v>
      </c>
      <c r="M317" s="23">
        <f>N317+P317</f>
        <v>1346.6499999999999</v>
      </c>
      <c r="N317" s="23">
        <v>1077.32</v>
      </c>
      <c r="O317" s="188">
        <v>1080</v>
      </c>
      <c r="P317" s="23">
        <v>269.33</v>
      </c>
      <c r="Q317" s="188">
        <v>269</v>
      </c>
      <c r="R317" s="23">
        <v>0</v>
      </c>
      <c r="S317" s="98">
        <v>20700</v>
      </c>
      <c r="T317" s="23">
        <f>J317/5000*100</f>
        <v>421.15999999999997</v>
      </c>
      <c r="U317" s="169">
        <v>400</v>
      </c>
      <c r="V317" s="99">
        <f t="shared" si="63"/>
        <v>800</v>
      </c>
      <c r="W317" s="55">
        <f>H317-R317-S317-U317</f>
        <v>-42</v>
      </c>
      <c r="X317" s="61"/>
    </row>
    <row r="318" spans="1:27" ht="24.95" customHeight="1">
      <c r="A318" s="29" t="s">
        <v>72</v>
      </c>
      <c r="B318" s="21" t="s">
        <v>0</v>
      </c>
      <c r="C318" s="25" t="s">
        <v>499</v>
      </c>
      <c r="D318" s="22" t="s">
        <v>73</v>
      </c>
      <c r="E318" s="23">
        <v>120000</v>
      </c>
      <c r="F318" s="41">
        <f t="shared" si="56"/>
        <v>2.5000000000000001E-4</v>
      </c>
      <c r="G318" s="26">
        <v>1</v>
      </c>
      <c r="H318" s="98">
        <f t="shared" si="61"/>
        <v>30</v>
      </c>
      <c r="I318" s="23">
        <v>0</v>
      </c>
      <c r="J318" s="23">
        <f t="shared" si="62"/>
        <v>30</v>
      </c>
      <c r="K318" s="23">
        <v>0</v>
      </c>
      <c r="L318" s="23">
        <v>30</v>
      </c>
      <c r="M318" s="23">
        <f>N318+P318</f>
        <v>0</v>
      </c>
      <c r="N318" s="23">
        <v>0</v>
      </c>
      <c r="O318" s="188">
        <v>0</v>
      </c>
      <c r="P318" s="23">
        <v>0</v>
      </c>
      <c r="Q318" s="188">
        <v>0</v>
      </c>
      <c r="R318" s="23">
        <v>0</v>
      </c>
      <c r="S318" s="98">
        <v>0</v>
      </c>
      <c r="T318" s="23">
        <f>J318/5000*100</f>
        <v>0.6</v>
      </c>
      <c r="U318" s="169">
        <v>0</v>
      </c>
      <c r="V318" s="99">
        <f t="shared" si="63"/>
        <v>0</v>
      </c>
      <c r="W318" s="55">
        <f>H318-R318-S318-U318</f>
        <v>30</v>
      </c>
      <c r="X318" s="61"/>
    </row>
    <row r="319" spans="1:27" ht="24.95" customHeight="1">
      <c r="A319" s="244" t="s">
        <v>500</v>
      </c>
      <c r="B319" s="245"/>
      <c r="C319" s="245"/>
      <c r="D319" s="245"/>
      <c r="E319" s="245"/>
      <c r="F319" s="245"/>
      <c r="G319" s="245"/>
      <c r="H319" s="245"/>
      <c r="I319" s="245"/>
      <c r="J319" s="245"/>
      <c r="K319" s="245"/>
      <c r="L319" s="245"/>
      <c r="M319" s="245"/>
      <c r="N319" s="245"/>
      <c r="O319" s="245"/>
      <c r="P319" s="245"/>
      <c r="Q319" s="245"/>
      <c r="R319" s="245"/>
      <c r="S319" s="245"/>
      <c r="T319" s="245"/>
      <c r="U319" s="245"/>
      <c r="V319" s="245"/>
      <c r="W319" s="251"/>
      <c r="X319" s="183"/>
      <c r="AA319" s="146"/>
    </row>
    <row r="320" spans="1:27" s="180" customFormat="1" ht="24.95" customHeight="1">
      <c r="A320" s="141">
        <v>10</v>
      </c>
      <c r="B320" s="35" t="s">
        <v>0</v>
      </c>
      <c r="C320" s="10" t="s">
        <v>501</v>
      </c>
      <c r="D320" s="10" t="s">
        <v>502</v>
      </c>
      <c r="E320" s="19">
        <v>840000</v>
      </c>
      <c r="F320" s="39">
        <f>H320/E320</f>
        <v>0.96519628571428562</v>
      </c>
      <c r="G320" s="18">
        <f>G322+G333+G356+G358+G365+G371+G378</f>
        <v>2935</v>
      </c>
      <c r="H320" s="97">
        <f>H322+H333+H356+H358+H365+H371+H378</f>
        <v>810764.87999999989</v>
      </c>
      <c r="I320" s="19">
        <f>I322+I358+I365+I371+I333+I356+I378</f>
        <v>519500</v>
      </c>
      <c r="J320" s="19">
        <f>K320+L320</f>
        <v>291264.88</v>
      </c>
      <c r="K320" s="19">
        <v>0</v>
      </c>
      <c r="L320" s="19">
        <f>SUM(L321:L378)</f>
        <v>291264.88</v>
      </c>
      <c r="M320" s="19">
        <f t="shared" ref="M320:V320" si="64">M322+M333+M356+M358+M365+M371+M378</f>
        <v>12027.419999999998</v>
      </c>
      <c r="N320" s="19">
        <f t="shared" si="64"/>
        <v>9621.9700000000012</v>
      </c>
      <c r="O320" s="186">
        <f t="shared" si="64"/>
        <v>9628</v>
      </c>
      <c r="P320" s="19">
        <f t="shared" si="64"/>
        <v>2405.4499999999998</v>
      </c>
      <c r="Q320" s="186">
        <f t="shared" si="64"/>
        <v>2406</v>
      </c>
      <c r="R320" s="19">
        <f t="shared" si="64"/>
        <v>0</v>
      </c>
      <c r="S320" s="19">
        <f t="shared" si="64"/>
        <v>805200</v>
      </c>
      <c r="T320" s="19">
        <f t="shared" si="64"/>
        <v>5825.2976000000008</v>
      </c>
      <c r="U320" s="19">
        <f t="shared" si="64"/>
        <v>5500</v>
      </c>
      <c r="V320" s="19">
        <f t="shared" si="64"/>
        <v>11000</v>
      </c>
      <c r="W320" s="52">
        <f>H320-R320-S320-U320</f>
        <v>64.879999999888241</v>
      </c>
      <c r="X320" s="58"/>
      <c r="Z320" s="59"/>
    </row>
    <row r="321" spans="1:27" s="180" customFormat="1" ht="24.95" customHeight="1">
      <c r="A321" s="29" t="s">
        <v>503</v>
      </c>
      <c r="B321" s="35"/>
      <c r="C321" s="22" t="s">
        <v>504</v>
      </c>
      <c r="D321" s="17" t="s">
        <v>1</v>
      </c>
      <c r="E321" s="17" t="s">
        <v>1</v>
      </c>
      <c r="F321" s="17" t="s">
        <v>1</v>
      </c>
      <c r="G321" s="37" t="s">
        <v>1</v>
      </c>
      <c r="H321" s="144" t="s">
        <v>1</v>
      </c>
      <c r="I321" s="23" t="s">
        <v>1</v>
      </c>
      <c r="J321" s="17" t="s">
        <v>1</v>
      </c>
      <c r="K321" s="17" t="s">
        <v>1</v>
      </c>
      <c r="L321" s="17" t="s">
        <v>1</v>
      </c>
      <c r="M321" s="17" t="s">
        <v>1</v>
      </c>
      <c r="N321" s="17" t="s">
        <v>1</v>
      </c>
      <c r="O321" s="17"/>
      <c r="P321" s="17" t="s">
        <v>1</v>
      </c>
      <c r="Q321" s="212"/>
      <c r="R321" s="17" t="s">
        <v>1</v>
      </c>
      <c r="S321" s="145" t="s">
        <v>1</v>
      </c>
      <c r="T321" s="17" t="s">
        <v>1</v>
      </c>
      <c r="U321" s="17" t="s">
        <v>1</v>
      </c>
      <c r="V321" s="17" t="s">
        <v>1</v>
      </c>
      <c r="W321" s="67" t="s">
        <v>1</v>
      </c>
      <c r="X321" s="58"/>
      <c r="Z321" s="214"/>
    </row>
    <row r="322" spans="1:27" s="180" customFormat="1" ht="24.95" customHeight="1">
      <c r="A322" s="29" t="s">
        <v>74</v>
      </c>
      <c r="B322" s="35"/>
      <c r="C322" s="22" t="s">
        <v>505</v>
      </c>
      <c r="D322" s="22" t="s">
        <v>75</v>
      </c>
      <c r="E322" s="23">
        <v>120000</v>
      </c>
      <c r="F322" s="41">
        <f t="shared" ref="F322:F378" si="65">H322/E322</f>
        <v>1.1002950833333334</v>
      </c>
      <c r="G322" s="37">
        <v>302</v>
      </c>
      <c r="H322" s="98">
        <f>I322+J322</f>
        <v>132035.41</v>
      </c>
      <c r="I322" s="23">
        <f>SUM(I323:I332)</f>
        <v>114000</v>
      </c>
      <c r="J322" s="23">
        <f>K322+L322</f>
        <v>18035.41</v>
      </c>
      <c r="K322" s="23">
        <v>0</v>
      </c>
      <c r="L322" s="23">
        <v>18035.41</v>
      </c>
      <c r="M322" s="23">
        <f>N322+P322</f>
        <v>1734.38</v>
      </c>
      <c r="N322" s="23">
        <f>1353.23+34.28</f>
        <v>1387.51</v>
      </c>
      <c r="O322" s="188">
        <v>1388</v>
      </c>
      <c r="P322" s="23">
        <f>338.3+8.57</f>
        <v>346.87</v>
      </c>
      <c r="Q322" s="188">
        <v>347</v>
      </c>
      <c r="R322" s="23">
        <v>0</v>
      </c>
      <c r="S322" s="23">
        <v>131700</v>
      </c>
      <c r="T322" s="23">
        <f>J322/5000*100</f>
        <v>360.70820000000003</v>
      </c>
      <c r="U322" s="169">
        <v>300</v>
      </c>
      <c r="V322" s="169">
        <f t="shared" ref="V322" si="66">U322*2</f>
        <v>600</v>
      </c>
      <c r="W322" s="55">
        <f>H322-R322-S322-U322</f>
        <v>35.410000000003492</v>
      </c>
      <c r="X322" s="58"/>
      <c r="Z322" s="182"/>
      <c r="AA322" s="182"/>
    </row>
    <row r="323" spans="1:27" s="180" customFormat="1" ht="24.95" hidden="1" customHeight="1">
      <c r="A323" s="29"/>
      <c r="B323" s="35"/>
      <c r="C323" s="22"/>
      <c r="D323" s="22" t="s">
        <v>506</v>
      </c>
      <c r="E323" s="23"/>
      <c r="F323" s="41" t="e">
        <f t="shared" si="65"/>
        <v>#DIV/0!</v>
      </c>
      <c r="G323" s="37"/>
      <c r="H323" s="98"/>
      <c r="I323" s="23">
        <v>6000</v>
      </c>
      <c r="J323" s="23"/>
      <c r="K323" s="23"/>
      <c r="L323" s="23"/>
      <c r="M323" s="23"/>
      <c r="N323" s="23"/>
      <c r="O323" s="188"/>
      <c r="P323" s="23"/>
      <c r="Q323" s="188"/>
      <c r="R323" s="23"/>
      <c r="S323" s="23"/>
      <c r="T323" s="23"/>
      <c r="U323" s="169"/>
      <c r="V323" s="169"/>
      <c r="W323" s="52"/>
      <c r="X323" s="58"/>
      <c r="Z323" s="182"/>
    </row>
    <row r="324" spans="1:27" s="180" customFormat="1" ht="24.95" hidden="1" customHeight="1">
      <c r="A324" s="29"/>
      <c r="B324" s="35"/>
      <c r="C324" s="22"/>
      <c r="D324" s="22" t="s">
        <v>507</v>
      </c>
      <c r="E324" s="23"/>
      <c r="F324" s="41"/>
      <c r="G324" s="37"/>
      <c r="H324" s="98"/>
      <c r="I324" s="23">
        <v>9000</v>
      </c>
      <c r="J324" s="23"/>
      <c r="K324" s="23"/>
      <c r="L324" s="23"/>
      <c r="M324" s="23"/>
      <c r="N324" s="23"/>
      <c r="O324" s="188"/>
      <c r="P324" s="23"/>
      <c r="Q324" s="188"/>
      <c r="R324" s="23"/>
      <c r="S324" s="23"/>
      <c r="T324" s="23"/>
      <c r="U324" s="169"/>
      <c r="V324" s="169"/>
      <c r="W324" s="52"/>
      <c r="X324" s="58"/>
      <c r="Z324" s="182"/>
    </row>
    <row r="325" spans="1:27" s="180" customFormat="1" ht="24.95" hidden="1" customHeight="1">
      <c r="A325" s="29"/>
      <c r="B325" s="35"/>
      <c r="C325" s="22"/>
      <c r="D325" s="22" t="s">
        <v>508</v>
      </c>
      <c r="E325" s="23"/>
      <c r="F325" s="41"/>
      <c r="G325" s="37"/>
      <c r="H325" s="98"/>
      <c r="I325" s="23">
        <v>1000</v>
      </c>
      <c r="J325" s="23"/>
      <c r="K325" s="23"/>
      <c r="L325" s="23"/>
      <c r="M325" s="23"/>
      <c r="N325" s="23"/>
      <c r="O325" s="188"/>
      <c r="P325" s="23"/>
      <c r="Q325" s="188"/>
      <c r="R325" s="23"/>
      <c r="S325" s="23"/>
      <c r="T325" s="23"/>
      <c r="U325" s="169"/>
      <c r="V325" s="169"/>
      <c r="W325" s="52"/>
      <c r="X325" s="58"/>
      <c r="Z325" s="182"/>
    </row>
    <row r="326" spans="1:27" s="180" customFormat="1" ht="24.95" hidden="1" customHeight="1">
      <c r="A326" s="29"/>
      <c r="B326" s="35"/>
      <c r="C326" s="22"/>
      <c r="D326" s="22" t="s">
        <v>508</v>
      </c>
      <c r="E326" s="23"/>
      <c r="F326" s="41"/>
      <c r="G326" s="37"/>
      <c r="H326" s="98"/>
      <c r="I326" s="23">
        <v>1000</v>
      </c>
      <c r="J326" s="23"/>
      <c r="K326" s="23"/>
      <c r="L326" s="23"/>
      <c r="M326" s="23"/>
      <c r="N326" s="23"/>
      <c r="O326" s="188"/>
      <c r="P326" s="23"/>
      <c r="Q326" s="188"/>
      <c r="R326" s="23"/>
      <c r="S326" s="23"/>
      <c r="T326" s="23"/>
      <c r="U326" s="169"/>
      <c r="V326" s="169"/>
      <c r="W326" s="52"/>
      <c r="X326" s="58"/>
      <c r="Z326" s="182"/>
    </row>
    <row r="327" spans="1:27" s="180" customFormat="1" ht="24.95" hidden="1" customHeight="1">
      <c r="A327" s="29"/>
      <c r="B327" s="35"/>
      <c r="C327" s="22"/>
      <c r="D327" s="22" t="s">
        <v>508</v>
      </c>
      <c r="E327" s="23"/>
      <c r="F327" s="41"/>
      <c r="G327" s="37"/>
      <c r="H327" s="98"/>
      <c r="I327" s="23">
        <v>1000</v>
      </c>
      <c r="J327" s="23"/>
      <c r="K327" s="23"/>
      <c r="L327" s="23"/>
      <c r="M327" s="23"/>
      <c r="N327" s="23"/>
      <c r="O327" s="188"/>
      <c r="P327" s="23"/>
      <c r="Q327" s="188"/>
      <c r="R327" s="23"/>
      <c r="S327" s="23"/>
      <c r="T327" s="23"/>
      <c r="U327" s="169"/>
      <c r="V327" s="169"/>
      <c r="W327" s="52"/>
      <c r="X327" s="58"/>
      <c r="Z327" s="182"/>
    </row>
    <row r="328" spans="1:27" s="180" customFormat="1" ht="24.95" hidden="1" customHeight="1">
      <c r="A328" s="29"/>
      <c r="B328" s="35"/>
      <c r="C328" s="22"/>
      <c r="D328" s="22" t="s">
        <v>508</v>
      </c>
      <c r="E328" s="23"/>
      <c r="F328" s="41"/>
      <c r="G328" s="37"/>
      <c r="H328" s="98"/>
      <c r="I328" s="23">
        <v>1000</v>
      </c>
      <c r="J328" s="23"/>
      <c r="K328" s="23"/>
      <c r="L328" s="23"/>
      <c r="M328" s="23"/>
      <c r="N328" s="23"/>
      <c r="O328" s="188"/>
      <c r="P328" s="23"/>
      <c r="Q328" s="188"/>
      <c r="R328" s="23"/>
      <c r="S328" s="23"/>
      <c r="T328" s="23"/>
      <c r="U328" s="169"/>
      <c r="V328" s="169"/>
      <c r="W328" s="52"/>
      <c r="X328" s="58"/>
      <c r="Z328" s="182"/>
    </row>
    <row r="329" spans="1:27" s="180" customFormat="1" ht="24.95" hidden="1" customHeight="1">
      <c r="A329" s="29"/>
      <c r="B329" s="35"/>
      <c r="C329" s="22"/>
      <c r="D329" s="22" t="s">
        <v>509</v>
      </c>
      <c r="E329" s="23"/>
      <c r="F329" s="41"/>
      <c r="G329" s="37"/>
      <c r="H329" s="98"/>
      <c r="I329" s="23">
        <v>90000</v>
      </c>
      <c r="J329" s="23"/>
      <c r="K329" s="23"/>
      <c r="L329" s="23"/>
      <c r="M329" s="23"/>
      <c r="N329" s="23"/>
      <c r="O329" s="188"/>
      <c r="P329" s="23"/>
      <c r="Q329" s="188"/>
      <c r="R329" s="23"/>
      <c r="S329" s="23"/>
      <c r="T329" s="23"/>
      <c r="U329" s="169"/>
      <c r="V329" s="169"/>
      <c r="W329" s="52"/>
      <c r="X329" s="58"/>
      <c r="Z329" s="182"/>
    </row>
    <row r="330" spans="1:27" s="180" customFormat="1" ht="24.95" hidden="1" customHeight="1">
      <c r="A330" s="141"/>
      <c r="B330" s="35"/>
      <c r="C330" s="10"/>
      <c r="D330" s="10" t="s">
        <v>510</v>
      </c>
      <c r="E330" s="23"/>
      <c r="F330" s="41" t="e">
        <f>H330/E330</f>
        <v>#DIV/0!</v>
      </c>
      <c r="G330" s="37"/>
      <c r="H330" s="97"/>
      <c r="I330" s="23">
        <v>1000</v>
      </c>
      <c r="J330" s="19"/>
      <c r="K330" s="19"/>
      <c r="L330" s="19"/>
      <c r="M330" s="23"/>
      <c r="N330" s="23"/>
      <c r="O330" s="188"/>
      <c r="P330" s="23"/>
      <c r="Q330" s="188"/>
      <c r="R330" s="23"/>
      <c r="S330" s="19"/>
      <c r="T330" s="19"/>
      <c r="U330" s="63"/>
      <c r="V330" s="63"/>
      <c r="W330" s="52"/>
      <c r="X330" s="58"/>
      <c r="Z330" s="182"/>
    </row>
    <row r="331" spans="1:27" s="180" customFormat="1" ht="24.95" hidden="1" customHeight="1">
      <c r="A331" s="141"/>
      <c r="B331" s="35"/>
      <c r="C331" s="10"/>
      <c r="D331" s="147" t="s">
        <v>511</v>
      </c>
      <c r="E331" s="23"/>
      <c r="F331" s="41" t="e">
        <f>H331/E331</f>
        <v>#DIV/0!</v>
      </c>
      <c r="G331" s="37"/>
      <c r="H331" s="97"/>
      <c r="I331" s="23">
        <v>2000</v>
      </c>
      <c r="J331" s="19"/>
      <c r="K331" s="19"/>
      <c r="L331" s="19"/>
      <c r="M331" s="23"/>
      <c r="N331" s="23"/>
      <c r="O331" s="188"/>
      <c r="P331" s="23"/>
      <c r="Q331" s="188"/>
      <c r="R331" s="23"/>
      <c r="S331" s="19"/>
      <c r="T331" s="19"/>
      <c r="U331" s="63"/>
      <c r="V331" s="63"/>
      <c r="W331" s="52"/>
      <c r="X331" s="58"/>
      <c r="Z331" s="182"/>
    </row>
    <row r="332" spans="1:27" s="180" customFormat="1" ht="24.95" hidden="1" customHeight="1">
      <c r="A332" s="141"/>
      <c r="B332" s="35"/>
      <c r="C332" s="10"/>
      <c r="D332" s="147" t="s">
        <v>512</v>
      </c>
      <c r="E332" s="23"/>
      <c r="F332" s="41" t="e">
        <f>H332/E332</f>
        <v>#DIV/0!</v>
      </c>
      <c r="G332" s="37"/>
      <c r="H332" s="97"/>
      <c r="I332" s="23">
        <v>2000</v>
      </c>
      <c r="J332" s="19"/>
      <c r="K332" s="19"/>
      <c r="L332" s="19"/>
      <c r="M332" s="23"/>
      <c r="N332" s="23"/>
      <c r="O332" s="188"/>
      <c r="P332" s="23"/>
      <c r="Q332" s="188"/>
      <c r="R332" s="23"/>
      <c r="S332" s="19"/>
      <c r="T332" s="19"/>
      <c r="U332" s="63"/>
      <c r="V332" s="63"/>
      <c r="W332" s="52"/>
      <c r="X332" s="58"/>
      <c r="Z332" s="182"/>
    </row>
    <row r="333" spans="1:27" s="180" customFormat="1" ht="24.95" customHeight="1">
      <c r="A333" s="29" t="s">
        <v>76</v>
      </c>
      <c r="B333" s="35"/>
      <c r="C333" s="22" t="s">
        <v>513</v>
      </c>
      <c r="D333" s="22" t="s">
        <v>77</v>
      </c>
      <c r="E333" s="23">
        <v>120000</v>
      </c>
      <c r="F333" s="41">
        <f t="shared" si="65"/>
        <v>1.0600568333333333</v>
      </c>
      <c r="G333" s="37">
        <v>977</v>
      </c>
      <c r="H333" s="98">
        <f>I333+J333</f>
        <v>127206.82</v>
      </c>
      <c r="I333" s="23">
        <f>SUM(I334:I355)</f>
        <v>44500</v>
      </c>
      <c r="J333" s="23">
        <f>L333+K333</f>
        <v>82706.820000000007</v>
      </c>
      <c r="K333" s="23">
        <v>0</v>
      </c>
      <c r="L333" s="23">
        <v>82706.820000000007</v>
      </c>
      <c r="M333" s="23">
        <f>N333+P333</f>
        <v>2981.1000000000004</v>
      </c>
      <c r="N333" s="23">
        <v>2384.88</v>
      </c>
      <c r="O333" s="188">
        <v>2390</v>
      </c>
      <c r="P333" s="23">
        <v>596.22</v>
      </c>
      <c r="Q333" s="188">
        <v>596</v>
      </c>
      <c r="R333" s="23">
        <v>0</v>
      </c>
      <c r="S333" s="23">
        <v>125600</v>
      </c>
      <c r="T333" s="23">
        <f>J333/5000*100</f>
        <v>1654.1364000000001</v>
      </c>
      <c r="U333" s="169">
        <v>1600</v>
      </c>
      <c r="V333" s="169">
        <f t="shared" ref="V333" si="67">U333*2</f>
        <v>3200</v>
      </c>
      <c r="W333" s="55">
        <f>H333-R333-S333-U333</f>
        <v>6.8200000000069849</v>
      </c>
      <c r="X333" s="58"/>
      <c r="Z333" s="182"/>
    </row>
    <row r="334" spans="1:27" s="180" customFormat="1" ht="24.95" hidden="1" customHeight="1">
      <c r="A334" s="29"/>
      <c r="B334" s="35"/>
      <c r="C334" s="22"/>
      <c r="D334" s="22" t="s">
        <v>514</v>
      </c>
      <c r="E334" s="23"/>
      <c r="F334" s="41"/>
      <c r="G334" s="37"/>
      <c r="H334" s="98"/>
      <c r="I334" s="23">
        <v>500</v>
      </c>
      <c r="J334" s="23"/>
      <c r="K334" s="23"/>
      <c r="L334" s="23"/>
      <c r="M334" s="23"/>
      <c r="N334" s="23"/>
      <c r="O334" s="188"/>
      <c r="P334" s="23"/>
      <c r="Q334" s="188"/>
      <c r="R334" s="23">
        <v>0</v>
      </c>
      <c r="S334" s="23"/>
      <c r="T334" s="23"/>
      <c r="U334" s="169"/>
      <c r="V334" s="169"/>
      <c r="W334" s="55"/>
      <c r="X334" s="58"/>
      <c r="Z334" s="182"/>
    </row>
    <row r="335" spans="1:27" s="180" customFormat="1" ht="24.95" hidden="1" customHeight="1">
      <c r="A335" s="29"/>
      <c r="B335" s="35"/>
      <c r="C335" s="22"/>
      <c r="D335" s="22" t="s">
        <v>515</v>
      </c>
      <c r="E335" s="23"/>
      <c r="F335" s="41"/>
      <c r="G335" s="37"/>
      <c r="H335" s="98"/>
      <c r="I335" s="23">
        <v>10000</v>
      </c>
      <c r="J335" s="23"/>
      <c r="K335" s="23"/>
      <c r="L335" s="23"/>
      <c r="M335" s="23"/>
      <c r="N335" s="23"/>
      <c r="O335" s="188"/>
      <c r="P335" s="23"/>
      <c r="Q335" s="188"/>
      <c r="R335" s="23">
        <v>0</v>
      </c>
      <c r="S335" s="23"/>
      <c r="T335" s="23"/>
      <c r="U335" s="169"/>
      <c r="V335" s="169"/>
      <c r="W335" s="55"/>
      <c r="X335" s="58"/>
      <c r="Z335" s="182"/>
    </row>
    <row r="336" spans="1:27" s="180" customFormat="1" ht="24.95" hidden="1" customHeight="1">
      <c r="A336" s="29"/>
      <c r="B336" s="35"/>
      <c r="C336" s="22"/>
      <c r="D336" s="22" t="s">
        <v>516</v>
      </c>
      <c r="E336" s="23"/>
      <c r="F336" s="41"/>
      <c r="G336" s="37"/>
      <c r="H336" s="98"/>
      <c r="I336" s="23">
        <v>500</v>
      </c>
      <c r="J336" s="23"/>
      <c r="K336" s="23"/>
      <c r="L336" s="23"/>
      <c r="M336" s="23"/>
      <c r="N336" s="23"/>
      <c r="O336" s="188"/>
      <c r="P336" s="23"/>
      <c r="Q336" s="188"/>
      <c r="R336" s="23">
        <v>0</v>
      </c>
      <c r="S336" s="23"/>
      <c r="T336" s="23"/>
      <c r="U336" s="169"/>
      <c r="V336" s="169"/>
      <c r="W336" s="55"/>
      <c r="X336" s="58"/>
      <c r="Z336" s="182"/>
    </row>
    <row r="337" spans="1:26" s="180" customFormat="1" ht="24.95" hidden="1" customHeight="1">
      <c r="A337" s="29"/>
      <c r="B337" s="35"/>
      <c r="C337" s="22"/>
      <c r="D337" s="22" t="s">
        <v>517</v>
      </c>
      <c r="E337" s="23"/>
      <c r="F337" s="41"/>
      <c r="G337" s="37"/>
      <c r="H337" s="98"/>
      <c r="I337" s="23">
        <v>500</v>
      </c>
      <c r="J337" s="23"/>
      <c r="K337" s="23"/>
      <c r="L337" s="23"/>
      <c r="M337" s="23"/>
      <c r="N337" s="23"/>
      <c r="O337" s="188"/>
      <c r="P337" s="23"/>
      <c r="Q337" s="188"/>
      <c r="R337" s="23">
        <v>0</v>
      </c>
      <c r="S337" s="23"/>
      <c r="T337" s="23"/>
      <c r="U337" s="169"/>
      <c r="V337" s="169"/>
      <c r="W337" s="55"/>
      <c r="X337" s="58"/>
      <c r="Z337" s="182"/>
    </row>
    <row r="338" spans="1:26" s="180" customFormat="1" ht="24.95" hidden="1" customHeight="1">
      <c r="A338" s="29"/>
      <c r="B338" s="35"/>
      <c r="C338" s="22"/>
      <c r="D338" s="22" t="s">
        <v>518</v>
      </c>
      <c r="E338" s="23"/>
      <c r="F338" s="41"/>
      <c r="G338" s="37"/>
      <c r="H338" s="98"/>
      <c r="I338" s="23">
        <v>500</v>
      </c>
      <c r="J338" s="23"/>
      <c r="K338" s="23"/>
      <c r="L338" s="23"/>
      <c r="M338" s="23"/>
      <c r="N338" s="23"/>
      <c r="O338" s="188"/>
      <c r="P338" s="23"/>
      <c r="Q338" s="188"/>
      <c r="R338" s="23">
        <v>0</v>
      </c>
      <c r="S338" s="23"/>
      <c r="T338" s="23"/>
      <c r="U338" s="169"/>
      <c r="V338" s="169"/>
      <c r="W338" s="55"/>
      <c r="X338" s="58"/>
      <c r="Z338" s="182"/>
    </row>
    <row r="339" spans="1:26" s="180" customFormat="1" ht="24.95" hidden="1" customHeight="1">
      <c r="A339" s="29"/>
      <c r="B339" s="35"/>
      <c r="C339" s="22"/>
      <c r="D339" s="22" t="s">
        <v>519</v>
      </c>
      <c r="E339" s="23"/>
      <c r="F339" s="41"/>
      <c r="G339" s="37"/>
      <c r="H339" s="98"/>
      <c r="I339" s="23">
        <v>500</v>
      </c>
      <c r="J339" s="23"/>
      <c r="K339" s="23"/>
      <c r="L339" s="23"/>
      <c r="M339" s="23"/>
      <c r="N339" s="23"/>
      <c r="O339" s="188"/>
      <c r="P339" s="23"/>
      <c r="Q339" s="188"/>
      <c r="R339" s="23">
        <v>0</v>
      </c>
      <c r="S339" s="23"/>
      <c r="T339" s="23"/>
      <c r="U339" s="169"/>
      <c r="V339" s="169"/>
      <c r="W339" s="55"/>
      <c r="X339" s="58"/>
      <c r="Z339" s="182"/>
    </row>
    <row r="340" spans="1:26" s="180" customFormat="1" ht="24.95" hidden="1" customHeight="1">
      <c r="A340" s="29"/>
      <c r="B340" s="35"/>
      <c r="C340" s="22"/>
      <c r="D340" s="22" t="s">
        <v>520</v>
      </c>
      <c r="E340" s="23"/>
      <c r="F340" s="41"/>
      <c r="G340" s="37"/>
      <c r="H340" s="98"/>
      <c r="I340" s="23">
        <v>500</v>
      </c>
      <c r="J340" s="23"/>
      <c r="K340" s="23"/>
      <c r="L340" s="23"/>
      <c r="M340" s="23"/>
      <c r="N340" s="23"/>
      <c r="O340" s="188"/>
      <c r="P340" s="23"/>
      <c r="Q340" s="188"/>
      <c r="R340" s="23">
        <v>0</v>
      </c>
      <c r="S340" s="23"/>
      <c r="T340" s="23"/>
      <c r="U340" s="169"/>
      <c r="V340" s="169"/>
      <c r="W340" s="55"/>
      <c r="X340" s="58"/>
      <c r="Z340" s="182"/>
    </row>
    <row r="341" spans="1:26" s="180" customFormat="1" ht="24.95" hidden="1" customHeight="1">
      <c r="A341" s="29"/>
      <c r="B341" s="35"/>
      <c r="C341" s="22"/>
      <c r="D341" s="22" t="s">
        <v>521</v>
      </c>
      <c r="E341" s="23"/>
      <c r="F341" s="41"/>
      <c r="G341" s="37"/>
      <c r="H341" s="98"/>
      <c r="I341" s="23">
        <v>500</v>
      </c>
      <c r="J341" s="23"/>
      <c r="K341" s="23"/>
      <c r="L341" s="23"/>
      <c r="M341" s="23"/>
      <c r="N341" s="23"/>
      <c r="O341" s="188"/>
      <c r="P341" s="23"/>
      <c r="Q341" s="188"/>
      <c r="R341" s="23">
        <v>0</v>
      </c>
      <c r="S341" s="23"/>
      <c r="T341" s="23"/>
      <c r="U341" s="169"/>
      <c r="V341" s="169"/>
      <c r="W341" s="55"/>
      <c r="X341" s="58"/>
      <c r="Z341" s="182"/>
    </row>
    <row r="342" spans="1:26" s="180" customFormat="1" ht="24.95" hidden="1" customHeight="1">
      <c r="A342" s="29"/>
      <c r="B342" s="35"/>
      <c r="C342" s="22"/>
      <c r="D342" s="22" t="s">
        <v>522</v>
      </c>
      <c r="E342" s="23"/>
      <c r="F342" s="41"/>
      <c r="G342" s="37"/>
      <c r="H342" s="98"/>
      <c r="I342" s="23">
        <v>500</v>
      </c>
      <c r="J342" s="23"/>
      <c r="K342" s="23"/>
      <c r="L342" s="23"/>
      <c r="M342" s="23"/>
      <c r="N342" s="23"/>
      <c r="O342" s="188"/>
      <c r="P342" s="23"/>
      <c r="Q342" s="188"/>
      <c r="R342" s="23">
        <v>0</v>
      </c>
      <c r="S342" s="23"/>
      <c r="T342" s="23"/>
      <c r="U342" s="169"/>
      <c r="V342" s="169"/>
      <c r="W342" s="55"/>
      <c r="X342" s="58"/>
      <c r="Z342" s="182"/>
    </row>
    <row r="343" spans="1:26" s="180" customFormat="1" ht="24.95" hidden="1" customHeight="1">
      <c r="A343" s="29"/>
      <c r="B343" s="35"/>
      <c r="C343" s="22"/>
      <c r="D343" s="22" t="s">
        <v>523</v>
      </c>
      <c r="E343" s="23"/>
      <c r="F343" s="41"/>
      <c r="G343" s="37"/>
      <c r="H343" s="98"/>
      <c r="I343" s="23">
        <v>500</v>
      </c>
      <c r="J343" s="23"/>
      <c r="K343" s="23"/>
      <c r="L343" s="23"/>
      <c r="M343" s="23"/>
      <c r="N343" s="23"/>
      <c r="O343" s="188"/>
      <c r="P343" s="23"/>
      <c r="Q343" s="188"/>
      <c r="R343" s="23">
        <v>0</v>
      </c>
      <c r="S343" s="23"/>
      <c r="T343" s="23"/>
      <c r="U343" s="169"/>
      <c r="V343" s="169"/>
      <c r="W343" s="55"/>
      <c r="X343" s="58"/>
      <c r="Z343" s="182"/>
    </row>
    <row r="344" spans="1:26" s="180" customFormat="1" ht="24.95" hidden="1" customHeight="1">
      <c r="A344" s="29"/>
      <c r="B344" s="35"/>
      <c r="C344" s="22"/>
      <c r="D344" s="22" t="s">
        <v>524</v>
      </c>
      <c r="E344" s="23"/>
      <c r="F344" s="41"/>
      <c r="G344" s="37"/>
      <c r="H344" s="98"/>
      <c r="I344" s="23">
        <v>500</v>
      </c>
      <c r="J344" s="23"/>
      <c r="K344" s="23"/>
      <c r="L344" s="23"/>
      <c r="M344" s="23"/>
      <c r="N344" s="23"/>
      <c r="O344" s="188"/>
      <c r="P344" s="23"/>
      <c r="Q344" s="188"/>
      <c r="R344" s="23">
        <v>0</v>
      </c>
      <c r="S344" s="23"/>
      <c r="T344" s="23"/>
      <c r="U344" s="169"/>
      <c r="V344" s="169"/>
      <c r="W344" s="55"/>
      <c r="X344" s="58"/>
      <c r="Z344" s="182"/>
    </row>
    <row r="345" spans="1:26" s="180" customFormat="1" ht="24.95" hidden="1" customHeight="1">
      <c r="A345" s="29"/>
      <c r="B345" s="35"/>
      <c r="C345" s="22"/>
      <c r="D345" s="22" t="s">
        <v>525</v>
      </c>
      <c r="E345" s="23"/>
      <c r="F345" s="41"/>
      <c r="G345" s="37"/>
      <c r="H345" s="98"/>
      <c r="I345" s="23">
        <v>500</v>
      </c>
      <c r="J345" s="23"/>
      <c r="K345" s="23"/>
      <c r="L345" s="23"/>
      <c r="M345" s="23"/>
      <c r="N345" s="23"/>
      <c r="O345" s="188"/>
      <c r="P345" s="23"/>
      <c r="Q345" s="188"/>
      <c r="R345" s="23">
        <v>0</v>
      </c>
      <c r="S345" s="23"/>
      <c r="T345" s="23"/>
      <c r="U345" s="169"/>
      <c r="V345" s="169"/>
      <c r="W345" s="55"/>
      <c r="X345" s="58"/>
      <c r="Z345" s="182"/>
    </row>
    <row r="346" spans="1:26" s="180" customFormat="1" ht="24.95" hidden="1" customHeight="1">
      <c r="A346" s="29"/>
      <c r="B346" s="35"/>
      <c r="C346" s="22"/>
      <c r="D346" s="22" t="s">
        <v>526</v>
      </c>
      <c r="E346" s="23"/>
      <c r="F346" s="41"/>
      <c r="G346" s="37"/>
      <c r="H346" s="98"/>
      <c r="I346" s="23">
        <v>500</v>
      </c>
      <c r="J346" s="23"/>
      <c r="K346" s="23"/>
      <c r="L346" s="23"/>
      <c r="M346" s="23"/>
      <c r="N346" s="23"/>
      <c r="O346" s="188"/>
      <c r="P346" s="23"/>
      <c r="Q346" s="188"/>
      <c r="R346" s="23">
        <v>0</v>
      </c>
      <c r="S346" s="23"/>
      <c r="T346" s="23"/>
      <c r="U346" s="169"/>
      <c r="V346" s="169"/>
      <c r="W346" s="55"/>
      <c r="X346" s="58"/>
      <c r="Z346" s="182"/>
    </row>
    <row r="347" spans="1:26" s="180" customFormat="1" ht="24.95" hidden="1" customHeight="1">
      <c r="A347" s="29"/>
      <c r="B347" s="35"/>
      <c r="C347" s="22"/>
      <c r="D347" s="22" t="s">
        <v>527</v>
      </c>
      <c r="E347" s="23"/>
      <c r="F347" s="41"/>
      <c r="G347" s="37"/>
      <c r="H347" s="98"/>
      <c r="I347" s="23">
        <v>500</v>
      </c>
      <c r="J347" s="23"/>
      <c r="K347" s="23"/>
      <c r="L347" s="23"/>
      <c r="M347" s="23"/>
      <c r="N347" s="23"/>
      <c r="O347" s="188"/>
      <c r="P347" s="23"/>
      <c r="Q347" s="188"/>
      <c r="R347" s="23">
        <v>0</v>
      </c>
      <c r="S347" s="23"/>
      <c r="T347" s="23"/>
      <c r="U347" s="169"/>
      <c r="V347" s="169"/>
      <c r="W347" s="55"/>
      <c r="X347" s="58"/>
      <c r="Z347" s="182"/>
    </row>
    <row r="348" spans="1:26" s="180" customFormat="1" ht="24.95" hidden="1" customHeight="1">
      <c r="A348" s="29"/>
      <c r="B348" s="35"/>
      <c r="C348" s="22"/>
      <c r="D348" s="22" t="s">
        <v>528</v>
      </c>
      <c r="E348" s="23"/>
      <c r="F348" s="41"/>
      <c r="G348" s="37"/>
      <c r="H348" s="98"/>
      <c r="I348" s="23">
        <v>500</v>
      </c>
      <c r="J348" s="23"/>
      <c r="K348" s="23"/>
      <c r="L348" s="23"/>
      <c r="M348" s="23"/>
      <c r="N348" s="23"/>
      <c r="O348" s="188"/>
      <c r="P348" s="23"/>
      <c r="Q348" s="188"/>
      <c r="R348" s="23">
        <v>0</v>
      </c>
      <c r="S348" s="23"/>
      <c r="T348" s="23"/>
      <c r="U348" s="169"/>
      <c r="V348" s="169"/>
      <c r="W348" s="55"/>
      <c r="X348" s="58"/>
      <c r="Z348" s="182"/>
    </row>
    <row r="349" spans="1:26" s="180" customFormat="1" ht="24.95" hidden="1" customHeight="1">
      <c r="A349" s="29"/>
      <c r="B349" s="35"/>
      <c r="C349" s="22"/>
      <c r="D349" s="22" t="s">
        <v>529</v>
      </c>
      <c r="E349" s="23"/>
      <c r="F349" s="41"/>
      <c r="G349" s="37"/>
      <c r="H349" s="98"/>
      <c r="I349" s="23">
        <v>500</v>
      </c>
      <c r="J349" s="23"/>
      <c r="K349" s="23"/>
      <c r="L349" s="23"/>
      <c r="M349" s="23"/>
      <c r="N349" s="23"/>
      <c r="O349" s="188"/>
      <c r="P349" s="23"/>
      <c r="Q349" s="188"/>
      <c r="R349" s="23">
        <v>0</v>
      </c>
      <c r="S349" s="23"/>
      <c r="T349" s="23"/>
      <c r="U349" s="169"/>
      <c r="V349" s="169"/>
      <c r="W349" s="55"/>
      <c r="X349" s="58"/>
      <c r="Z349" s="182"/>
    </row>
    <row r="350" spans="1:26" s="180" customFormat="1" ht="24.95" hidden="1" customHeight="1">
      <c r="A350" s="29"/>
      <c r="B350" s="35"/>
      <c r="C350" s="22"/>
      <c r="D350" s="22" t="s">
        <v>530</v>
      </c>
      <c r="E350" s="23"/>
      <c r="F350" s="41"/>
      <c r="G350" s="37"/>
      <c r="H350" s="98"/>
      <c r="I350" s="23">
        <v>500</v>
      </c>
      <c r="J350" s="23"/>
      <c r="K350" s="23"/>
      <c r="L350" s="23"/>
      <c r="M350" s="23"/>
      <c r="N350" s="23"/>
      <c r="O350" s="188"/>
      <c r="P350" s="23"/>
      <c r="Q350" s="188"/>
      <c r="R350" s="23">
        <v>0</v>
      </c>
      <c r="S350" s="23"/>
      <c r="T350" s="23"/>
      <c r="U350" s="169"/>
      <c r="V350" s="169"/>
      <c r="W350" s="55"/>
      <c r="X350" s="58"/>
      <c r="Z350" s="182"/>
    </row>
    <row r="351" spans="1:26" s="180" customFormat="1" ht="24.95" hidden="1" customHeight="1">
      <c r="A351" s="29"/>
      <c r="B351" s="35"/>
      <c r="C351" s="22"/>
      <c r="D351" s="22" t="s">
        <v>531</v>
      </c>
      <c r="E351" s="23"/>
      <c r="F351" s="41"/>
      <c r="G351" s="37"/>
      <c r="H351" s="98"/>
      <c r="I351" s="23">
        <v>20000</v>
      </c>
      <c r="J351" s="23"/>
      <c r="K351" s="23"/>
      <c r="L351" s="23"/>
      <c r="M351" s="23"/>
      <c r="N351" s="23"/>
      <c r="O351" s="188"/>
      <c r="P351" s="23"/>
      <c r="Q351" s="188"/>
      <c r="R351" s="23">
        <v>0</v>
      </c>
      <c r="S351" s="23"/>
      <c r="T351" s="23"/>
      <c r="U351" s="169"/>
      <c r="V351" s="169"/>
      <c r="W351" s="55"/>
      <c r="X351" s="58"/>
      <c r="Z351" s="182"/>
    </row>
    <row r="352" spans="1:26" s="180" customFormat="1" ht="24.95" hidden="1" customHeight="1">
      <c r="A352" s="29"/>
      <c r="B352" s="35"/>
      <c r="C352" s="22"/>
      <c r="D352" s="22" t="s">
        <v>532</v>
      </c>
      <c r="E352" s="23"/>
      <c r="F352" s="41"/>
      <c r="G352" s="37"/>
      <c r="H352" s="98"/>
      <c r="I352" s="23">
        <v>500</v>
      </c>
      <c r="J352" s="23"/>
      <c r="K352" s="23"/>
      <c r="L352" s="23"/>
      <c r="M352" s="23"/>
      <c r="N352" s="23"/>
      <c r="O352" s="188"/>
      <c r="P352" s="23"/>
      <c r="Q352" s="188"/>
      <c r="R352" s="23">
        <v>0</v>
      </c>
      <c r="S352" s="23"/>
      <c r="T352" s="23"/>
      <c r="U352" s="169"/>
      <c r="V352" s="169"/>
      <c r="W352" s="55"/>
      <c r="X352" s="58"/>
      <c r="Z352" s="182"/>
    </row>
    <row r="353" spans="1:27" s="180" customFormat="1" ht="24.95" hidden="1" customHeight="1">
      <c r="A353" s="29"/>
      <c r="B353" s="35"/>
      <c r="C353" s="22"/>
      <c r="D353" s="22" t="s">
        <v>533</v>
      </c>
      <c r="E353" s="23"/>
      <c r="F353" s="41"/>
      <c r="G353" s="37"/>
      <c r="H353" s="98"/>
      <c r="I353" s="23">
        <v>500</v>
      </c>
      <c r="J353" s="23"/>
      <c r="K353" s="23"/>
      <c r="L353" s="23"/>
      <c r="M353" s="23"/>
      <c r="N353" s="23"/>
      <c r="O353" s="188"/>
      <c r="P353" s="23"/>
      <c r="Q353" s="188"/>
      <c r="R353" s="23">
        <v>0</v>
      </c>
      <c r="S353" s="23"/>
      <c r="T353" s="23"/>
      <c r="U353" s="169"/>
      <c r="V353" s="169"/>
      <c r="W353" s="55"/>
      <c r="X353" s="58"/>
      <c r="Z353" s="182"/>
    </row>
    <row r="354" spans="1:27" s="180" customFormat="1" ht="24.95" hidden="1" customHeight="1">
      <c r="A354" s="29"/>
      <c r="B354" s="35"/>
      <c r="C354" s="22"/>
      <c r="D354" s="22" t="s">
        <v>534</v>
      </c>
      <c r="E354" s="23"/>
      <c r="F354" s="41"/>
      <c r="G354" s="37"/>
      <c r="H354" s="98"/>
      <c r="I354" s="23">
        <v>500</v>
      </c>
      <c r="J354" s="23"/>
      <c r="K354" s="23"/>
      <c r="L354" s="23"/>
      <c r="M354" s="23"/>
      <c r="N354" s="23"/>
      <c r="O354" s="188"/>
      <c r="P354" s="23"/>
      <c r="Q354" s="188"/>
      <c r="R354" s="23">
        <v>0</v>
      </c>
      <c r="S354" s="23"/>
      <c r="T354" s="23"/>
      <c r="U354" s="169"/>
      <c r="V354" s="169"/>
      <c r="W354" s="55"/>
      <c r="X354" s="58"/>
      <c r="Z354" s="182"/>
    </row>
    <row r="355" spans="1:27" s="180" customFormat="1" ht="24.95" hidden="1" customHeight="1">
      <c r="A355" s="29"/>
      <c r="B355" s="35"/>
      <c r="C355" s="22"/>
      <c r="D355" s="22" t="s">
        <v>535</v>
      </c>
      <c r="E355" s="23"/>
      <c r="F355" s="41" t="e">
        <f>H355/E355</f>
        <v>#DIV/0!</v>
      </c>
      <c r="G355" s="37"/>
      <c r="H355" s="98"/>
      <c r="I355" s="23">
        <v>5000</v>
      </c>
      <c r="J355" s="23"/>
      <c r="K355" s="23"/>
      <c r="L355" s="23"/>
      <c r="M355" s="23"/>
      <c r="N355" s="23"/>
      <c r="O355" s="188"/>
      <c r="P355" s="23"/>
      <c r="Q355" s="188"/>
      <c r="R355" s="23">
        <v>0</v>
      </c>
      <c r="S355" s="19"/>
      <c r="T355" s="19"/>
      <c r="U355" s="63"/>
      <c r="V355" s="63"/>
      <c r="W355" s="52"/>
      <c r="X355" s="58"/>
      <c r="Z355" s="182"/>
    </row>
    <row r="356" spans="1:27" s="180" customFormat="1" ht="24.95" customHeight="1">
      <c r="A356" s="29" t="s">
        <v>78</v>
      </c>
      <c r="B356" s="35"/>
      <c r="C356" s="22" t="s">
        <v>536</v>
      </c>
      <c r="D356" s="22" t="s">
        <v>537</v>
      </c>
      <c r="E356" s="23">
        <v>120000</v>
      </c>
      <c r="F356" s="41">
        <f t="shared" si="65"/>
        <v>0.84150066666666667</v>
      </c>
      <c r="G356" s="37">
        <v>150</v>
      </c>
      <c r="H356" s="98">
        <f t="shared" ref="H356:H358" si="68">I356+J356</f>
        <v>100980.08</v>
      </c>
      <c r="I356" s="23">
        <f>I357</f>
        <v>100000</v>
      </c>
      <c r="J356" s="23">
        <f t="shared" ref="J356:J358" si="69">L356+K356</f>
        <v>980.08</v>
      </c>
      <c r="K356" s="23">
        <v>0</v>
      </c>
      <c r="L356" s="23">
        <v>980.08</v>
      </c>
      <c r="M356" s="23">
        <f>N356+P356</f>
        <v>46.65</v>
      </c>
      <c r="N356" s="23">
        <v>37.32</v>
      </c>
      <c r="O356" s="188">
        <v>0</v>
      </c>
      <c r="P356" s="23">
        <v>9.33</v>
      </c>
      <c r="Q356" s="188">
        <v>9</v>
      </c>
      <c r="R356" s="23">
        <v>0</v>
      </c>
      <c r="S356" s="23">
        <v>101000</v>
      </c>
      <c r="T356" s="23">
        <f>J356/5000*100</f>
        <v>19.601600000000001</v>
      </c>
      <c r="U356" s="169">
        <v>0</v>
      </c>
      <c r="V356" s="169">
        <f t="shared" ref="V356" si="70">U356*2</f>
        <v>0</v>
      </c>
      <c r="W356" s="55">
        <f>H356-R356-S356-U356</f>
        <v>-19.919999999998254</v>
      </c>
      <c r="X356" s="58"/>
      <c r="Z356" s="182"/>
      <c r="AA356" s="182"/>
    </row>
    <row r="357" spans="1:27" s="180" customFormat="1" ht="24.95" hidden="1" customHeight="1">
      <c r="A357" s="29"/>
      <c r="B357" s="35"/>
      <c r="C357" s="22"/>
      <c r="D357" s="22" t="s">
        <v>538</v>
      </c>
      <c r="E357" s="23"/>
      <c r="F357" s="41"/>
      <c r="G357" s="37"/>
      <c r="H357" s="98"/>
      <c r="I357" s="23">
        <v>100000</v>
      </c>
      <c r="J357" s="23"/>
      <c r="K357" s="23"/>
      <c r="L357" s="23"/>
      <c r="M357" s="23"/>
      <c r="N357" s="23"/>
      <c r="O357" s="188"/>
      <c r="P357" s="23"/>
      <c r="Q357" s="188"/>
      <c r="R357" s="23">
        <v>0</v>
      </c>
      <c r="S357" s="23"/>
      <c r="T357" s="23"/>
      <c r="U357" s="169"/>
      <c r="V357" s="169"/>
      <c r="W357" s="55"/>
      <c r="X357" s="58"/>
      <c r="Z357" s="182"/>
      <c r="AA357" s="182"/>
    </row>
    <row r="358" spans="1:27" s="180" customFormat="1" ht="24.95" customHeight="1">
      <c r="A358" s="29" t="s">
        <v>79</v>
      </c>
      <c r="B358" s="35"/>
      <c r="C358" s="22" t="s">
        <v>539</v>
      </c>
      <c r="D358" s="22" t="s">
        <v>540</v>
      </c>
      <c r="E358" s="23">
        <v>120000</v>
      </c>
      <c r="F358" s="41">
        <f t="shared" si="65"/>
        <v>1.0590297500000001</v>
      </c>
      <c r="G358" s="37">
        <v>3</v>
      </c>
      <c r="H358" s="98">
        <f t="shared" si="68"/>
        <v>127083.57</v>
      </c>
      <c r="I358" s="23">
        <f>SUM(I359:I364)</f>
        <v>43000</v>
      </c>
      <c r="J358" s="23">
        <f t="shared" si="69"/>
        <v>84083.57</v>
      </c>
      <c r="K358" s="23">
        <v>0</v>
      </c>
      <c r="L358" s="23">
        <v>84083.57</v>
      </c>
      <c r="M358" s="23">
        <f>N358+P358</f>
        <v>4482.83</v>
      </c>
      <c r="N358" s="23">
        <f>3586.07+0.2</f>
        <v>3586.27</v>
      </c>
      <c r="O358" s="188">
        <v>3580</v>
      </c>
      <c r="P358" s="23">
        <f>896.51+0.05</f>
        <v>896.56</v>
      </c>
      <c r="Q358" s="188">
        <v>897</v>
      </c>
      <c r="R358" s="23">
        <v>0</v>
      </c>
      <c r="S358" s="23">
        <v>125500</v>
      </c>
      <c r="T358" s="23">
        <f>J358/5000*100</f>
        <v>1681.6714000000002</v>
      </c>
      <c r="U358" s="169">
        <v>1600</v>
      </c>
      <c r="V358" s="169">
        <f>U358*2</f>
        <v>3200</v>
      </c>
      <c r="W358" s="55">
        <f>H358-R358-S358-U358</f>
        <v>-16.429999999993015</v>
      </c>
      <c r="X358" s="58"/>
      <c r="Z358" s="182"/>
    </row>
    <row r="359" spans="1:27" s="180" customFormat="1" ht="24.95" hidden="1" customHeight="1">
      <c r="A359" s="29"/>
      <c r="B359" s="35"/>
      <c r="C359" s="22"/>
      <c r="D359" s="22" t="s">
        <v>541</v>
      </c>
      <c r="E359" s="23"/>
      <c r="F359" s="41"/>
      <c r="G359" s="37"/>
      <c r="H359" s="98"/>
      <c r="I359" s="23">
        <v>5000</v>
      </c>
      <c r="J359" s="23"/>
      <c r="K359" s="23"/>
      <c r="L359" s="23"/>
      <c r="M359" s="19"/>
      <c r="N359" s="23"/>
      <c r="O359" s="188"/>
      <c r="P359" s="23"/>
      <c r="Q359" s="188"/>
      <c r="R359" s="23">
        <v>0</v>
      </c>
      <c r="S359" s="19"/>
      <c r="T359" s="19"/>
      <c r="U359" s="63"/>
      <c r="V359" s="63"/>
      <c r="W359" s="52"/>
      <c r="X359" s="58"/>
      <c r="Z359" s="182"/>
    </row>
    <row r="360" spans="1:27" s="180" customFormat="1" ht="24.95" hidden="1" customHeight="1">
      <c r="A360" s="29"/>
      <c r="B360" s="35"/>
      <c r="C360" s="22"/>
      <c r="D360" s="22" t="s">
        <v>542</v>
      </c>
      <c r="E360" s="23"/>
      <c r="F360" s="41"/>
      <c r="G360" s="37"/>
      <c r="H360" s="98"/>
      <c r="I360" s="23">
        <v>5000</v>
      </c>
      <c r="J360" s="23"/>
      <c r="K360" s="23"/>
      <c r="L360" s="23"/>
      <c r="M360" s="19"/>
      <c r="N360" s="23"/>
      <c r="O360" s="188"/>
      <c r="P360" s="23"/>
      <c r="Q360" s="188"/>
      <c r="R360" s="23">
        <v>0</v>
      </c>
      <c r="S360" s="19"/>
      <c r="T360" s="19"/>
      <c r="U360" s="63"/>
      <c r="V360" s="63"/>
      <c r="W360" s="52"/>
      <c r="X360" s="58"/>
      <c r="Z360" s="182"/>
    </row>
    <row r="361" spans="1:27" s="180" customFormat="1" ht="24.95" hidden="1" customHeight="1">
      <c r="A361" s="29"/>
      <c r="B361" s="35"/>
      <c r="C361" s="22"/>
      <c r="D361" s="22" t="s">
        <v>543</v>
      </c>
      <c r="E361" s="23"/>
      <c r="F361" s="41"/>
      <c r="G361" s="37"/>
      <c r="H361" s="98"/>
      <c r="I361" s="23">
        <v>5000</v>
      </c>
      <c r="J361" s="23"/>
      <c r="K361" s="23"/>
      <c r="L361" s="23"/>
      <c r="M361" s="19"/>
      <c r="N361" s="23"/>
      <c r="O361" s="188"/>
      <c r="P361" s="23"/>
      <c r="Q361" s="188"/>
      <c r="R361" s="23">
        <v>0</v>
      </c>
      <c r="S361" s="19"/>
      <c r="T361" s="19"/>
      <c r="U361" s="63"/>
      <c r="V361" s="63"/>
      <c r="W361" s="52"/>
      <c r="X361" s="58"/>
      <c r="Z361" s="182"/>
    </row>
    <row r="362" spans="1:27" s="180" customFormat="1" ht="24.95" hidden="1" customHeight="1">
      <c r="A362" s="29"/>
      <c r="B362" s="35"/>
      <c r="C362" s="22"/>
      <c r="D362" s="22" t="s">
        <v>544</v>
      </c>
      <c r="E362" s="23"/>
      <c r="F362" s="41"/>
      <c r="G362" s="37"/>
      <c r="H362" s="98"/>
      <c r="I362" s="23">
        <v>10000</v>
      </c>
      <c r="J362" s="23"/>
      <c r="K362" s="23"/>
      <c r="L362" s="23"/>
      <c r="M362" s="19"/>
      <c r="N362" s="23"/>
      <c r="O362" s="188"/>
      <c r="P362" s="23"/>
      <c r="Q362" s="188"/>
      <c r="R362" s="23">
        <v>0</v>
      </c>
      <c r="S362" s="19"/>
      <c r="T362" s="19"/>
      <c r="U362" s="63"/>
      <c r="V362" s="63"/>
      <c r="W362" s="52"/>
      <c r="X362" s="58"/>
      <c r="Z362" s="182"/>
    </row>
    <row r="363" spans="1:27" s="180" customFormat="1" ht="24.95" hidden="1" customHeight="1">
      <c r="A363" s="29"/>
      <c r="B363" s="35"/>
      <c r="C363" s="22"/>
      <c r="D363" s="22" t="s">
        <v>545</v>
      </c>
      <c r="E363" s="23"/>
      <c r="F363" s="41"/>
      <c r="G363" s="37"/>
      <c r="H363" s="98"/>
      <c r="I363" s="23">
        <v>3000</v>
      </c>
      <c r="J363" s="23"/>
      <c r="K363" s="23"/>
      <c r="L363" s="23"/>
      <c r="M363" s="19"/>
      <c r="N363" s="23"/>
      <c r="O363" s="188"/>
      <c r="P363" s="23"/>
      <c r="Q363" s="188"/>
      <c r="R363" s="23">
        <v>0</v>
      </c>
      <c r="S363" s="19"/>
      <c r="T363" s="19"/>
      <c r="U363" s="63"/>
      <c r="V363" s="63"/>
      <c r="W363" s="52"/>
      <c r="X363" s="58"/>
      <c r="Z363" s="182"/>
    </row>
    <row r="364" spans="1:27" s="180" customFormat="1" ht="24.95" hidden="1" customHeight="1">
      <c r="A364" s="29"/>
      <c r="B364" s="35"/>
      <c r="C364" s="22"/>
      <c r="D364" s="22" t="s">
        <v>546</v>
      </c>
      <c r="E364" s="23"/>
      <c r="F364" s="41"/>
      <c r="G364" s="37"/>
      <c r="H364" s="98"/>
      <c r="I364" s="23">
        <v>15000</v>
      </c>
      <c r="J364" s="23"/>
      <c r="K364" s="23"/>
      <c r="L364" s="23"/>
      <c r="M364" s="19"/>
      <c r="N364" s="23"/>
      <c r="O364" s="188"/>
      <c r="P364" s="23"/>
      <c r="Q364" s="188"/>
      <c r="R364" s="23">
        <v>0</v>
      </c>
      <c r="S364" s="19"/>
      <c r="T364" s="19"/>
      <c r="U364" s="63"/>
      <c r="V364" s="63"/>
      <c r="W364" s="52"/>
      <c r="X364" s="58"/>
      <c r="Z364" s="182"/>
    </row>
    <row r="365" spans="1:27" ht="24.95" customHeight="1">
      <c r="A365" s="29" t="s">
        <v>80</v>
      </c>
      <c r="B365" s="21" t="s">
        <v>0</v>
      </c>
      <c r="C365" s="22" t="s">
        <v>547</v>
      </c>
      <c r="D365" s="22" t="s">
        <v>548</v>
      </c>
      <c r="E365" s="23">
        <v>120000</v>
      </c>
      <c r="F365" s="41">
        <f t="shared" si="65"/>
        <v>0.83795091666666666</v>
      </c>
      <c r="G365" s="26">
        <v>100</v>
      </c>
      <c r="H365" s="98">
        <f>I365+J365</f>
        <v>100554.11</v>
      </c>
      <c r="I365" s="23">
        <f>SUM(I366:I370)</f>
        <v>100000</v>
      </c>
      <c r="J365" s="23">
        <f>K365+L365</f>
        <v>554.11</v>
      </c>
      <c r="K365" s="23">
        <v>0</v>
      </c>
      <c r="L365" s="23">
        <v>554.11</v>
      </c>
      <c r="M365" s="23">
        <f>N365+P365</f>
        <v>78.16</v>
      </c>
      <c r="N365" s="23">
        <v>62.53</v>
      </c>
      <c r="O365" s="188">
        <v>100</v>
      </c>
      <c r="P365" s="23">
        <v>15.63</v>
      </c>
      <c r="Q365" s="188">
        <v>16</v>
      </c>
      <c r="R365" s="23">
        <v>0</v>
      </c>
      <c r="S365" s="23">
        <v>100500</v>
      </c>
      <c r="T365" s="23">
        <f>J365/5000*100</f>
        <v>11.0822</v>
      </c>
      <c r="U365" s="169">
        <v>0</v>
      </c>
      <c r="V365" s="169">
        <f t="shared" ref="V365" si="71">U365*2</f>
        <v>0</v>
      </c>
      <c r="W365" s="55">
        <f>H365-R365-S365-U365</f>
        <v>54.110000000000582</v>
      </c>
      <c r="X365" s="56"/>
    </row>
    <row r="366" spans="1:27" ht="24.95" hidden="1" customHeight="1">
      <c r="A366" s="29"/>
      <c r="B366" s="21"/>
      <c r="C366" s="22"/>
      <c r="D366" s="22" t="s">
        <v>549</v>
      </c>
      <c r="E366" s="23"/>
      <c r="F366" s="41"/>
      <c r="G366" s="26"/>
      <c r="H366" s="98"/>
      <c r="I366" s="23">
        <v>15000</v>
      </c>
      <c r="J366" s="23"/>
      <c r="K366" s="23"/>
      <c r="L366" s="23"/>
      <c r="M366" s="23"/>
      <c r="N366" s="23"/>
      <c r="O366" s="188"/>
      <c r="P366" s="23"/>
      <c r="Q366" s="188"/>
      <c r="R366" s="23">
        <v>0</v>
      </c>
      <c r="S366" s="23"/>
      <c r="T366" s="23"/>
      <c r="U366" s="169"/>
      <c r="V366" s="169"/>
      <c r="W366" s="55"/>
      <c r="X366" s="56"/>
    </row>
    <row r="367" spans="1:27" ht="24.95" hidden="1" customHeight="1">
      <c r="A367" s="29"/>
      <c r="B367" s="21"/>
      <c r="C367" s="22"/>
      <c r="D367" s="22" t="s">
        <v>550</v>
      </c>
      <c r="E367" s="23"/>
      <c r="F367" s="41"/>
      <c r="G367" s="26"/>
      <c r="H367" s="98"/>
      <c r="I367" s="23">
        <v>20000</v>
      </c>
      <c r="J367" s="23"/>
      <c r="K367" s="23"/>
      <c r="L367" s="23"/>
      <c r="M367" s="23"/>
      <c r="N367" s="23"/>
      <c r="O367" s="188"/>
      <c r="P367" s="23"/>
      <c r="Q367" s="188"/>
      <c r="R367" s="23">
        <v>0</v>
      </c>
      <c r="S367" s="23"/>
      <c r="T367" s="23"/>
      <c r="U367" s="169"/>
      <c r="V367" s="169"/>
      <c r="W367" s="55"/>
      <c r="X367" s="56"/>
    </row>
    <row r="368" spans="1:27" ht="24.95" hidden="1" customHeight="1">
      <c r="A368" s="29"/>
      <c r="B368" s="21"/>
      <c r="C368" s="22"/>
      <c r="D368" s="22" t="s">
        <v>551</v>
      </c>
      <c r="E368" s="23"/>
      <c r="F368" s="41"/>
      <c r="G368" s="26"/>
      <c r="H368" s="98"/>
      <c r="I368" s="23">
        <v>15000</v>
      </c>
      <c r="J368" s="23"/>
      <c r="K368" s="23"/>
      <c r="L368" s="23"/>
      <c r="M368" s="23"/>
      <c r="N368" s="23"/>
      <c r="O368" s="188"/>
      <c r="P368" s="23"/>
      <c r="Q368" s="188"/>
      <c r="R368" s="23">
        <v>0</v>
      </c>
      <c r="S368" s="23"/>
      <c r="T368" s="23"/>
      <c r="U368" s="169"/>
      <c r="V368" s="169"/>
      <c r="W368" s="55"/>
      <c r="X368" s="56"/>
    </row>
    <row r="369" spans="1:27" ht="24.95" hidden="1" customHeight="1">
      <c r="A369" s="29"/>
      <c r="B369" s="21"/>
      <c r="C369" s="22"/>
      <c r="D369" s="22" t="s">
        <v>552</v>
      </c>
      <c r="E369" s="23"/>
      <c r="F369" s="41"/>
      <c r="G369" s="26"/>
      <c r="H369" s="98"/>
      <c r="I369" s="23">
        <v>30000</v>
      </c>
      <c r="J369" s="23"/>
      <c r="K369" s="23"/>
      <c r="L369" s="23"/>
      <c r="M369" s="23"/>
      <c r="N369" s="23"/>
      <c r="O369" s="188"/>
      <c r="P369" s="23"/>
      <c r="Q369" s="188"/>
      <c r="R369" s="23">
        <v>0</v>
      </c>
      <c r="S369" s="23"/>
      <c r="T369" s="23"/>
      <c r="U369" s="169"/>
      <c r="V369" s="169"/>
      <c r="W369" s="55"/>
      <c r="X369" s="56"/>
    </row>
    <row r="370" spans="1:27" ht="24.95" hidden="1" customHeight="1">
      <c r="A370" s="29"/>
      <c r="B370" s="21"/>
      <c r="C370" s="22"/>
      <c r="D370" s="22" t="s">
        <v>553</v>
      </c>
      <c r="E370" s="23"/>
      <c r="F370" s="41"/>
      <c r="G370" s="26"/>
      <c r="H370" s="98"/>
      <c r="I370" s="23">
        <v>20000</v>
      </c>
      <c r="J370" s="23"/>
      <c r="K370" s="23"/>
      <c r="L370" s="23"/>
      <c r="M370" s="23"/>
      <c r="N370" s="23"/>
      <c r="O370" s="188"/>
      <c r="P370" s="23"/>
      <c r="Q370" s="188"/>
      <c r="R370" s="23">
        <v>0</v>
      </c>
      <c r="S370" s="23"/>
      <c r="T370" s="23"/>
      <c r="U370" s="169"/>
      <c r="V370" s="169"/>
      <c r="W370" s="55"/>
      <c r="X370" s="56"/>
    </row>
    <row r="371" spans="1:27" ht="24.95" customHeight="1">
      <c r="A371" s="29" t="s">
        <v>81</v>
      </c>
      <c r="B371" s="21" t="s">
        <v>0</v>
      </c>
      <c r="C371" s="22" t="s">
        <v>554</v>
      </c>
      <c r="D371" s="22" t="s">
        <v>555</v>
      </c>
      <c r="E371" s="23">
        <v>120000</v>
      </c>
      <c r="F371" s="41">
        <f t="shared" si="65"/>
        <v>0.99574341666666677</v>
      </c>
      <c r="G371" s="26">
        <v>749</v>
      </c>
      <c r="H371" s="98">
        <f>I371+J371</f>
        <v>119489.21</v>
      </c>
      <c r="I371" s="23">
        <f>SUM(I372:I377)</f>
        <v>18000</v>
      </c>
      <c r="J371" s="23">
        <f>K371+L371</f>
        <v>101489.21</v>
      </c>
      <c r="K371" s="23">
        <v>0</v>
      </c>
      <c r="L371" s="23">
        <v>101489.21</v>
      </c>
      <c r="M371" s="23">
        <f>N371+P371</f>
        <v>2188.2600000000002</v>
      </c>
      <c r="N371" s="23">
        <f>1498.16+240.31+12.15</f>
        <v>1750.6200000000001</v>
      </c>
      <c r="O371" s="188">
        <v>1750</v>
      </c>
      <c r="P371" s="23">
        <f>374.54+60.07+3.03</f>
        <v>437.64</v>
      </c>
      <c r="Q371" s="188">
        <v>438</v>
      </c>
      <c r="R371" s="23">
        <v>0</v>
      </c>
      <c r="S371" s="23">
        <v>117500</v>
      </c>
      <c r="T371" s="23">
        <f>J371/5000*100</f>
        <v>2029.7842000000003</v>
      </c>
      <c r="U371" s="169">
        <v>2000</v>
      </c>
      <c r="V371" s="169">
        <f t="shared" ref="V371" si="72">U371*2</f>
        <v>4000</v>
      </c>
      <c r="W371" s="55">
        <f>H371-R371-S371-U371</f>
        <v>-10.789999999993597</v>
      </c>
      <c r="X371" s="56"/>
    </row>
    <row r="372" spans="1:27" s="180" customFormat="1" ht="24.95" hidden="1" customHeight="1">
      <c r="A372" s="29"/>
      <c r="B372" s="35"/>
      <c r="C372" s="22"/>
      <c r="D372" s="22" t="s">
        <v>556</v>
      </c>
      <c r="E372" s="23"/>
      <c r="F372" s="41"/>
      <c r="G372" s="18"/>
      <c r="H372" s="98"/>
      <c r="I372" s="23">
        <v>3000</v>
      </c>
      <c r="J372" s="23"/>
      <c r="K372" s="23"/>
      <c r="L372" s="23"/>
      <c r="M372" s="19"/>
      <c r="N372" s="23"/>
      <c r="O372" s="188"/>
      <c r="P372" s="23"/>
      <c r="Q372" s="188"/>
      <c r="R372" s="23">
        <v>0</v>
      </c>
      <c r="S372" s="19"/>
      <c r="T372" s="19"/>
      <c r="U372" s="63"/>
      <c r="V372" s="63"/>
      <c r="W372" s="52"/>
      <c r="X372" s="58"/>
      <c r="Z372" s="182"/>
    </row>
    <row r="373" spans="1:27" ht="24.95" hidden="1" customHeight="1">
      <c r="A373" s="29"/>
      <c r="B373" s="21"/>
      <c r="C373" s="22"/>
      <c r="D373" s="22" t="s">
        <v>557</v>
      </c>
      <c r="E373" s="23"/>
      <c r="F373" s="41"/>
      <c r="G373" s="26"/>
      <c r="H373" s="98"/>
      <c r="I373" s="23">
        <v>10000</v>
      </c>
      <c r="J373" s="23"/>
      <c r="K373" s="23"/>
      <c r="L373" s="23"/>
      <c r="M373" s="23"/>
      <c r="N373" s="23"/>
      <c r="O373" s="188"/>
      <c r="P373" s="23"/>
      <c r="Q373" s="188"/>
      <c r="R373" s="23">
        <v>0</v>
      </c>
      <c r="S373" s="23"/>
      <c r="T373" s="23"/>
      <c r="U373" s="169"/>
      <c r="V373" s="169"/>
      <c r="W373" s="55"/>
      <c r="X373" s="56"/>
    </row>
    <row r="374" spans="1:27" ht="24.95" hidden="1" customHeight="1">
      <c r="A374" s="29"/>
      <c r="B374" s="21"/>
      <c r="C374" s="22"/>
      <c r="D374" s="22" t="s">
        <v>558</v>
      </c>
      <c r="E374" s="23"/>
      <c r="F374" s="41"/>
      <c r="G374" s="26"/>
      <c r="H374" s="98"/>
      <c r="I374" s="23">
        <v>1000</v>
      </c>
      <c r="J374" s="23"/>
      <c r="K374" s="23"/>
      <c r="L374" s="23"/>
      <c r="M374" s="23"/>
      <c r="N374" s="23"/>
      <c r="O374" s="188"/>
      <c r="P374" s="23"/>
      <c r="Q374" s="188"/>
      <c r="R374" s="23">
        <v>0</v>
      </c>
      <c r="S374" s="23"/>
      <c r="T374" s="23"/>
      <c r="U374" s="169"/>
      <c r="V374" s="169"/>
      <c r="W374" s="55"/>
      <c r="X374" s="56"/>
    </row>
    <row r="375" spans="1:27" ht="24.95" hidden="1" customHeight="1">
      <c r="A375" s="29"/>
      <c r="B375" s="21"/>
      <c r="C375" s="22"/>
      <c r="D375" s="22" t="s">
        <v>559</v>
      </c>
      <c r="E375" s="23"/>
      <c r="F375" s="41"/>
      <c r="G375" s="26"/>
      <c r="H375" s="98"/>
      <c r="I375" s="23">
        <v>2000</v>
      </c>
      <c r="J375" s="23"/>
      <c r="K375" s="23"/>
      <c r="L375" s="23"/>
      <c r="M375" s="23"/>
      <c r="N375" s="23"/>
      <c r="O375" s="188"/>
      <c r="P375" s="23"/>
      <c r="Q375" s="188"/>
      <c r="R375" s="23">
        <v>0</v>
      </c>
      <c r="S375" s="23"/>
      <c r="T375" s="23"/>
      <c r="U375" s="169"/>
      <c r="V375" s="169"/>
      <c r="W375" s="55"/>
      <c r="X375" s="56"/>
    </row>
    <row r="376" spans="1:27" s="180" customFormat="1" ht="24.95" hidden="1" customHeight="1">
      <c r="A376" s="141"/>
      <c r="B376" s="35"/>
      <c r="C376" s="10"/>
      <c r="D376" s="147" t="s">
        <v>559</v>
      </c>
      <c r="E376" s="23"/>
      <c r="F376" s="41"/>
      <c r="G376" s="18"/>
      <c r="H376" s="97"/>
      <c r="I376" s="23">
        <v>1000</v>
      </c>
      <c r="J376" s="19"/>
      <c r="K376" s="19"/>
      <c r="L376" s="19"/>
      <c r="M376" s="19"/>
      <c r="N376" s="23"/>
      <c r="O376" s="188"/>
      <c r="P376" s="23"/>
      <c r="Q376" s="188"/>
      <c r="R376" s="23">
        <v>0</v>
      </c>
      <c r="S376" s="19"/>
      <c r="T376" s="19"/>
      <c r="U376" s="63"/>
      <c r="V376" s="63"/>
      <c r="W376" s="52"/>
      <c r="X376" s="58"/>
      <c r="Z376" s="182"/>
    </row>
    <row r="377" spans="1:27" s="180" customFormat="1" ht="24.95" hidden="1" customHeight="1">
      <c r="A377" s="141"/>
      <c r="B377" s="35"/>
      <c r="C377" s="10"/>
      <c r="D377" s="147" t="s">
        <v>560</v>
      </c>
      <c r="E377" s="23"/>
      <c r="F377" s="41"/>
      <c r="G377" s="18"/>
      <c r="H377" s="97"/>
      <c r="I377" s="23">
        <v>1000</v>
      </c>
      <c r="J377" s="19"/>
      <c r="K377" s="19"/>
      <c r="L377" s="19"/>
      <c r="M377" s="19"/>
      <c r="N377" s="23"/>
      <c r="O377" s="188"/>
      <c r="P377" s="23"/>
      <c r="Q377" s="188"/>
      <c r="R377" s="23">
        <v>0</v>
      </c>
      <c r="S377" s="19"/>
      <c r="T377" s="19"/>
      <c r="U377" s="63"/>
      <c r="V377" s="63"/>
      <c r="W377" s="52"/>
      <c r="X377" s="58"/>
      <c r="Z377" s="182"/>
    </row>
    <row r="378" spans="1:27" ht="24.95" customHeight="1">
      <c r="A378" s="29" t="s">
        <v>82</v>
      </c>
      <c r="B378" s="21" t="s">
        <v>0</v>
      </c>
      <c r="C378" s="22" t="s">
        <v>561</v>
      </c>
      <c r="D378" s="22" t="s">
        <v>562</v>
      </c>
      <c r="E378" s="23">
        <v>120000</v>
      </c>
      <c r="F378" s="41">
        <f t="shared" si="65"/>
        <v>0.8617973333333333</v>
      </c>
      <c r="G378" s="26">
        <v>654</v>
      </c>
      <c r="H378" s="98">
        <f>I378+J378</f>
        <v>103415.67999999999</v>
      </c>
      <c r="I378" s="23">
        <f>I379</f>
        <v>100000</v>
      </c>
      <c r="J378" s="23">
        <f>K378+L378</f>
        <v>3415.68</v>
      </c>
      <c r="K378" s="23">
        <v>0</v>
      </c>
      <c r="L378" s="23">
        <v>3415.68</v>
      </c>
      <c r="M378" s="23">
        <f>N378+P378</f>
        <v>516.04</v>
      </c>
      <c r="N378" s="23">
        <f>412.75+0.09</f>
        <v>412.84</v>
      </c>
      <c r="O378" s="188">
        <v>420</v>
      </c>
      <c r="P378" s="23">
        <f>103.18+0.02</f>
        <v>103.2</v>
      </c>
      <c r="Q378" s="188">
        <v>103</v>
      </c>
      <c r="R378" s="23">
        <v>0</v>
      </c>
      <c r="S378" s="184">
        <v>103400</v>
      </c>
      <c r="T378" s="23">
        <f>J378/5000*100</f>
        <v>68.313599999999994</v>
      </c>
      <c r="U378" s="169">
        <v>0</v>
      </c>
      <c r="V378" s="169">
        <f t="shared" ref="V378" si="73">U378*2</f>
        <v>0</v>
      </c>
      <c r="W378" s="55">
        <f>H378-R378-S378-U378</f>
        <v>15.679999999993015</v>
      </c>
      <c r="X378" s="56"/>
    </row>
    <row r="379" spans="1:27" ht="24.95" hidden="1" customHeight="1">
      <c r="A379" s="29"/>
      <c r="B379" s="21"/>
      <c r="C379" s="22"/>
      <c r="D379" s="215" t="s">
        <v>83</v>
      </c>
      <c r="E379" s="23"/>
      <c r="F379" s="41"/>
      <c r="G379" s="26"/>
      <c r="H379" s="98"/>
      <c r="I379" s="184">
        <v>100000</v>
      </c>
      <c r="J379" s="23"/>
      <c r="K379" s="23"/>
      <c r="L379" s="23"/>
      <c r="M379" s="23"/>
      <c r="N379" s="23"/>
      <c r="O379" s="188"/>
      <c r="P379" s="23"/>
      <c r="Q379" s="188"/>
      <c r="R379" s="23"/>
      <c r="S379" s="23"/>
      <c r="T379" s="23"/>
      <c r="U379" s="23"/>
      <c r="V379" s="23"/>
      <c r="W379" s="55"/>
      <c r="X379" s="56"/>
    </row>
    <row r="380" spans="1:27" ht="24.95" customHeight="1">
      <c r="A380" s="244" t="s">
        <v>563</v>
      </c>
      <c r="B380" s="245"/>
      <c r="C380" s="245"/>
      <c r="D380" s="245"/>
      <c r="E380" s="245"/>
      <c r="F380" s="245"/>
      <c r="G380" s="245"/>
      <c r="H380" s="245"/>
      <c r="I380" s="245"/>
      <c r="J380" s="245"/>
      <c r="K380" s="245"/>
      <c r="L380" s="245"/>
      <c r="M380" s="245"/>
      <c r="N380" s="245"/>
      <c r="O380" s="245"/>
      <c r="P380" s="245"/>
      <c r="Q380" s="245"/>
      <c r="R380" s="245"/>
      <c r="S380" s="245"/>
      <c r="T380" s="245"/>
      <c r="U380" s="245"/>
      <c r="V380" s="245"/>
      <c r="W380" s="251"/>
      <c r="X380" s="183"/>
    </row>
    <row r="381" spans="1:27" s="180" customFormat="1" ht="24.95" customHeight="1">
      <c r="A381" s="141">
        <v>11</v>
      </c>
      <c r="B381" s="35" t="s">
        <v>0</v>
      </c>
      <c r="C381" s="10" t="s">
        <v>564</v>
      </c>
      <c r="D381" s="10" t="s">
        <v>565</v>
      </c>
      <c r="E381" s="19">
        <v>1115000</v>
      </c>
      <c r="F381" s="39">
        <f>H381/E381</f>
        <v>1.1301269506726457</v>
      </c>
      <c r="G381" s="18">
        <f>G382+G386+G401+G449+G451+G469+G461+G478</f>
        <v>6207</v>
      </c>
      <c r="H381" s="97">
        <f>I381+J381</f>
        <v>1260091.55</v>
      </c>
      <c r="I381" s="19">
        <f>I382+I386+I401+I449+I451+I461+I469+I478</f>
        <v>612800</v>
      </c>
      <c r="J381" s="19">
        <f>K381+L381</f>
        <v>647291.55000000005</v>
      </c>
      <c r="K381" s="19">
        <v>0</v>
      </c>
      <c r="L381" s="19">
        <f>SUM(L382:L478)</f>
        <v>647291.55000000005</v>
      </c>
      <c r="M381" s="19">
        <f t="shared" ref="M381:V381" si="74">M382+M386+M401+M449+M451+M461+M469+M478</f>
        <v>32846.720000000001</v>
      </c>
      <c r="N381" s="19">
        <f t="shared" si="74"/>
        <v>26277.420000000002</v>
      </c>
      <c r="O381" s="186">
        <f t="shared" si="74"/>
        <v>26310</v>
      </c>
      <c r="P381" s="19">
        <f t="shared" si="74"/>
        <v>6569.2999999999993</v>
      </c>
      <c r="Q381" s="186">
        <f t="shared" si="74"/>
        <v>6570</v>
      </c>
      <c r="R381" s="19">
        <f t="shared" si="74"/>
        <v>0</v>
      </c>
      <c r="S381" s="19">
        <f t="shared" si="74"/>
        <v>1247200</v>
      </c>
      <c r="T381" s="19">
        <f t="shared" si="74"/>
        <v>12945.831000000006</v>
      </c>
      <c r="U381" s="19">
        <f t="shared" si="74"/>
        <v>12800</v>
      </c>
      <c r="V381" s="19">
        <f t="shared" si="74"/>
        <v>25600</v>
      </c>
      <c r="W381" s="52">
        <f>H381-R381-S381-U381</f>
        <v>91.550000000046566</v>
      </c>
      <c r="X381" s="49"/>
      <c r="Z381" s="59"/>
      <c r="AA381" s="182"/>
    </row>
    <row r="382" spans="1:27" ht="24.95" customHeight="1">
      <c r="A382" s="29" t="s">
        <v>566</v>
      </c>
      <c r="B382" s="21" t="s">
        <v>0</v>
      </c>
      <c r="C382" s="22" t="s">
        <v>567</v>
      </c>
      <c r="D382" s="22" t="s">
        <v>568</v>
      </c>
      <c r="E382" s="23">
        <v>165000</v>
      </c>
      <c r="F382" s="41">
        <f t="shared" ref="F382:F469" si="75">H382/E382</f>
        <v>1.3011144242424242</v>
      </c>
      <c r="G382" s="26">
        <v>340</v>
      </c>
      <c r="H382" s="98">
        <f>I382+J382</f>
        <v>214683.88</v>
      </c>
      <c r="I382" s="23">
        <f>SUM(I383:I385)</f>
        <v>49500</v>
      </c>
      <c r="J382" s="23">
        <f>K382+L382</f>
        <v>165183.88</v>
      </c>
      <c r="K382" s="23">
        <v>0</v>
      </c>
      <c r="L382" s="23">
        <v>165183.88</v>
      </c>
      <c r="M382" s="23">
        <f>N382+P382</f>
        <v>9765.7899999999991</v>
      </c>
      <c r="N382" s="23">
        <f>7809.94+2.7</f>
        <v>7812.6399999999994</v>
      </c>
      <c r="O382" s="188">
        <v>7810</v>
      </c>
      <c r="P382" s="23">
        <f>1952.48+0.67</f>
        <v>1953.15</v>
      </c>
      <c r="Q382" s="188">
        <v>1950</v>
      </c>
      <c r="R382" s="23">
        <v>0</v>
      </c>
      <c r="S382" s="23">
        <v>211400</v>
      </c>
      <c r="T382" s="23">
        <f>J382/5000*100</f>
        <v>3303.6776000000004</v>
      </c>
      <c r="U382" s="169">
        <v>3300</v>
      </c>
      <c r="V382" s="169">
        <f t="shared" ref="V382" si="76">U382*2</f>
        <v>6600</v>
      </c>
      <c r="W382" s="55">
        <f>H382-R382-S382-U382</f>
        <v>-16.119999999995343</v>
      </c>
      <c r="X382" s="148"/>
    </row>
    <row r="383" spans="1:27" ht="24.95" hidden="1" customHeight="1">
      <c r="A383" s="29"/>
      <c r="B383" s="21"/>
      <c r="C383" s="22"/>
      <c r="D383" s="22" t="s">
        <v>569</v>
      </c>
      <c r="E383" s="23"/>
      <c r="F383" s="41" t="e">
        <f t="shared" si="75"/>
        <v>#DIV/0!</v>
      </c>
      <c r="G383" s="26"/>
      <c r="H383" s="98"/>
      <c r="I383" s="23">
        <v>8500</v>
      </c>
      <c r="J383" s="23"/>
      <c r="K383" s="23"/>
      <c r="L383" s="23"/>
      <c r="M383" s="23"/>
      <c r="N383" s="23"/>
      <c r="O383" s="188"/>
      <c r="P383" s="23"/>
      <c r="Q383" s="188"/>
      <c r="R383" s="23"/>
      <c r="S383" s="23"/>
      <c r="T383" s="23"/>
      <c r="U383" s="169"/>
      <c r="V383" s="169"/>
      <c r="W383" s="55"/>
      <c r="X383" s="148"/>
    </row>
    <row r="384" spans="1:27" ht="24.95" hidden="1" customHeight="1">
      <c r="A384" s="29"/>
      <c r="B384" s="21"/>
      <c r="C384" s="22"/>
      <c r="D384" s="22" t="s">
        <v>570</v>
      </c>
      <c r="E384" s="23"/>
      <c r="F384" s="41"/>
      <c r="G384" s="26"/>
      <c r="H384" s="98"/>
      <c r="I384" s="23">
        <v>18000</v>
      </c>
      <c r="J384" s="23"/>
      <c r="K384" s="23"/>
      <c r="L384" s="23"/>
      <c r="M384" s="23"/>
      <c r="N384" s="23"/>
      <c r="O384" s="188"/>
      <c r="P384" s="23"/>
      <c r="Q384" s="188"/>
      <c r="R384" s="23"/>
      <c r="S384" s="23"/>
      <c r="T384" s="23"/>
      <c r="U384" s="169"/>
      <c r="V384" s="169"/>
      <c r="W384" s="55"/>
      <c r="X384" s="148"/>
    </row>
    <row r="385" spans="1:27" ht="24.95" hidden="1" customHeight="1">
      <c r="A385" s="29"/>
      <c r="B385" s="21"/>
      <c r="C385" s="22"/>
      <c r="D385" s="22" t="s">
        <v>571</v>
      </c>
      <c r="E385" s="23"/>
      <c r="F385" s="41"/>
      <c r="G385" s="26"/>
      <c r="H385" s="98"/>
      <c r="I385" s="23">
        <v>23000</v>
      </c>
      <c r="J385" s="23"/>
      <c r="K385" s="23"/>
      <c r="L385" s="23"/>
      <c r="M385" s="23"/>
      <c r="N385" s="23"/>
      <c r="O385" s="188"/>
      <c r="P385" s="23"/>
      <c r="Q385" s="188"/>
      <c r="R385" s="23"/>
      <c r="S385" s="23"/>
      <c r="T385" s="23"/>
      <c r="U385" s="169"/>
      <c r="V385" s="169"/>
      <c r="W385" s="55"/>
      <c r="X385" s="148"/>
    </row>
    <row r="386" spans="1:27" ht="24.95" customHeight="1">
      <c r="A386" s="29" t="s">
        <v>572</v>
      </c>
      <c r="B386" s="21" t="s">
        <v>0</v>
      </c>
      <c r="C386" s="22" t="s">
        <v>573</v>
      </c>
      <c r="D386" s="22" t="s">
        <v>574</v>
      </c>
      <c r="E386" s="23">
        <v>120000</v>
      </c>
      <c r="F386" s="41">
        <f t="shared" si="75"/>
        <v>1.3175913333333336</v>
      </c>
      <c r="G386" s="26">
        <v>432</v>
      </c>
      <c r="H386" s="98">
        <f>I386+J386</f>
        <v>158110.96000000002</v>
      </c>
      <c r="I386" s="23">
        <f>SUM(I387:I400)</f>
        <v>75000</v>
      </c>
      <c r="J386" s="23">
        <f>K386+L386</f>
        <v>83110.960000000006</v>
      </c>
      <c r="K386" s="23">
        <v>0</v>
      </c>
      <c r="L386" s="23">
        <v>83110.960000000006</v>
      </c>
      <c r="M386" s="23">
        <f>N386+P386</f>
        <v>4287</v>
      </c>
      <c r="N386" s="23">
        <f>3415.19+14.42</f>
        <v>3429.61</v>
      </c>
      <c r="O386" s="188">
        <v>3430</v>
      </c>
      <c r="P386" s="23">
        <f>853.79+3.6</f>
        <v>857.39</v>
      </c>
      <c r="Q386" s="188">
        <v>860</v>
      </c>
      <c r="R386" s="23">
        <v>0</v>
      </c>
      <c r="S386" s="23">
        <v>156500</v>
      </c>
      <c r="T386" s="23">
        <f>J386/5000*100</f>
        <v>1662.2192000000002</v>
      </c>
      <c r="U386" s="169">
        <v>1600</v>
      </c>
      <c r="V386" s="169">
        <f t="shared" ref="V386" si="77">U386*2</f>
        <v>3200</v>
      </c>
      <c r="W386" s="55">
        <f>H386-R386-S386-U386</f>
        <v>10.960000000020955</v>
      </c>
      <c r="X386" s="148"/>
      <c r="AA386" s="6"/>
    </row>
    <row r="387" spans="1:27" ht="24.95" hidden="1" customHeight="1">
      <c r="A387" s="29"/>
      <c r="B387" s="21"/>
      <c r="C387" s="22"/>
      <c r="D387" s="22" t="s">
        <v>575</v>
      </c>
      <c r="E387" s="23"/>
      <c r="F387" s="41" t="e">
        <f t="shared" si="75"/>
        <v>#DIV/0!</v>
      </c>
      <c r="G387" s="26"/>
      <c r="H387" s="98"/>
      <c r="I387" s="23">
        <v>15000</v>
      </c>
      <c r="J387" s="23"/>
      <c r="K387" s="23"/>
      <c r="L387" s="23"/>
      <c r="M387" s="23"/>
      <c r="N387" s="23"/>
      <c r="O387" s="188"/>
      <c r="P387" s="23"/>
      <c r="Q387" s="188"/>
      <c r="R387" s="23"/>
      <c r="S387" s="23"/>
      <c r="T387" s="23"/>
      <c r="U387" s="169"/>
      <c r="V387" s="169"/>
      <c r="W387" s="55"/>
      <c r="X387" s="148"/>
    </row>
    <row r="388" spans="1:27" ht="24.95" hidden="1" customHeight="1">
      <c r="A388" s="29"/>
      <c r="B388" s="21"/>
      <c r="C388" s="22"/>
      <c r="D388" s="22" t="s">
        <v>576</v>
      </c>
      <c r="E388" s="23"/>
      <c r="F388" s="41" t="e">
        <f t="shared" si="75"/>
        <v>#DIV/0!</v>
      </c>
      <c r="G388" s="26"/>
      <c r="H388" s="98"/>
      <c r="I388" s="23">
        <v>3000</v>
      </c>
      <c r="J388" s="23"/>
      <c r="K388" s="23"/>
      <c r="L388" s="23"/>
      <c r="M388" s="23"/>
      <c r="N388" s="23"/>
      <c r="O388" s="188"/>
      <c r="P388" s="23"/>
      <c r="Q388" s="188"/>
      <c r="R388" s="23"/>
      <c r="S388" s="23"/>
      <c r="T388" s="23"/>
      <c r="U388" s="169"/>
      <c r="V388" s="169"/>
      <c r="W388" s="55"/>
      <c r="X388" s="148"/>
    </row>
    <row r="389" spans="1:27" ht="24.95" hidden="1" customHeight="1">
      <c r="A389" s="29"/>
      <c r="B389" s="21"/>
      <c r="C389" s="22"/>
      <c r="D389" s="22" t="s">
        <v>577</v>
      </c>
      <c r="E389" s="23"/>
      <c r="F389" s="41" t="e">
        <f t="shared" si="75"/>
        <v>#DIV/0!</v>
      </c>
      <c r="G389" s="26"/>
      <c r="H389" s="98"/>
      <c r="I389" s="23">
        <v>3000</v>
      </c>
      <c r="J389" s="23"/>
      <c r="K389" s="23"/>
      <c r="L389" s="23"/>
      <c r="M389" s="23"/>
      <c r="N389" s="23"/>
      <c r="O389" s="188"/>
      <c r="P389" s="23"/>
      <c r="Q389" s="188"/>
      <c r="R389" s="23"/>
      <c r="S389" s="23"/>
      <c r="T389" s="23"/>
      <c r="U389" s="169"/>
      <c r="V389" s="169"/>
      <c r="W389" s="55"/>
      <c r="X389" s="148"/>
    </row>
    <row r="390" spans="1:27" ht="24.95" hidden="1" customHeight="1">
      <c r="A390" s="29"/>
      <c r="B390" s="21"/>
      <c r="C390" s="22"/>
      <c r="D390" s="22" t="s">
        <v>578</v>
      </c>
      <c r="E390" s="23"/>
      <c r="F390" s="41" t="e">
        <f t="shared" si="75"/>
        <v>#DIV/0!</v>
      </c>
      <c r="G390" s="26"/>
      <c r="H390" s="98"/>
      <c r="I390" s="23">
        <v>1000</v>
      </c>
      <c r="J390" s="23"/>
      <c r="K390" s="23"/>
      <c r="L390" s="23"/>
      <c r="M390" s="23"/>
      <c r="N390" s="23"/>
      <c r="O390" s="188"/>
      <c r="P390" s="23"/>
      <c r="Q390" s="188"/>
      <c r="R390" s="23"/>
      <c r="S390" s="23"/>
      <c r="T390" s="23"/>
      <c r="U390" s="169"/>
      <c r="V390" s="169"/>
      <c r="W390" s="55"/>
      <c r="X390" s="148"/>
    </row>
    <row r="391" spans="1:27" ht="24.95" hidden="1" customHeight="1">
      <c r="A391" s="29"/>
      <c r="B391" s="21"/>
      <c r="C391" s="22"/>
      <c r="D391" s="22" t="s">
        <v>579</v>
      </c>
      <c r="E391" s="23"/>
      <c r="F391" s="41" t="e">
        <f t="shared" si="75"/>
        <v>#DIV/0!</v>
      </c>
      <c r="G391" s="26"/>
      <c r="H391" s="98"/>
      <c r="I391" s="23">
        <v>1000</v>
      </c>
      <c r="J391" s="23"/>
      <c r="K391" s="23"/>
      <c r="L391" s="23"/>
      <c r="M391" s="23"/>
      <c r="N391" s="23"/>
      <c r="O391" s="188"/>
      <c r="P391" s="23"/>
      <c r="Q391" s="188"/>
      <c r="R391" s="23"/>
      <c r="S391" s="23"/>
      <c r="T391" s="23"/>
      <c r="U391" s="169"/>
      <c r="V391" s="169"/>
      <c r="W391" s="55"/>
      <c r="X391" s="148"/>
    </row>
    <row r="392" spans="1:27" ht="24.95" hidden="1" customHeight="1">
      <c r="A392" s="29"/>
      <c r="B392" s="21"/>
      <c r="C392" s="22"/>
      <c r="D392" s="22" t="s">
        <v>580</v>
      </c>
      <c r="E392" s="23"/>
      <c r="F392" s="41" t="e">
        <f t="shared" si="75"/>
        <v>#DIV/0!</v>
      </c>
      <c r="G392" s="26"/>
      <c r="H392" s="98"/>
      <c r="I392" s="23">
        <v>3000</v>
      </c>
      <c r="J392" s="23"/>
      <c r="K392" s="23"/>
      <c r="L392" s="23"/>
      <c r="M392" s="23"/>
      <c r="N392" s="23"/>
      <c r="O392" s="188"/>
      <c r="P392" s="23"/>
      <c r="Q392" s="188"/>
      <c r="R392" s="23"/>
      <c r="S392" s="23"/>
      <c r="T392" s="23"/>
      <c r="U392" s="169"/>
      <c r="V392" s="169"/>
      <c r="W392" s="55"/>
      <c r="X392" s="148"/>
    </row>
    <row r="393" spans="1:27" ht="24.95" hidden="1" customHeight="1">
      <c r="A393" s="29"/>
      <c r="B393" s="21"/>
      <c r="C393" s="22"/>
      <c r="D393" s="22" t="s">
        <v>581</v>
      </c>
      <c r="E393" s="23"/>
      <c r="F393" s="41" t="e">
        <f t="shared" si="75"/>
        <v>#DIV/0!</v>
      </c>
      <c r="G393" s="26"/>
      <c r="H393" s="98"/>
      <c r="I393" s="23">
        <v>1000</v>
      </c>
      <c r="J393" s="23"/>
      <c r="K393" s="23"/>
      <c r="L393" s="23"/>
      <c r="M393" s="23"/>
      <c r="N393" s="23"/>
      <c r="O393" s="188"/>
      <c r="P393" s="23"/>
      <c r="Q393" s="188"/>
      <c r="R393" s="23"/>
      <c r="S393" s="23"/>
      <c r="T393" s="23"/>
      <c r="U393" s="169"/>
      <c r="V393" s="169"/>
      <c r="W393" s="55"/>
      <c r="X393" s="148"/>
    </row>
    <row r="394" spans="1:27" ht="24.95" hidden="1" customHeight="1">
      <c r="A394" s="29"/>
      <c r="B394" s="21"/>
      <c r="C394" s="22"/>
      <c r="D394" s="22" t="s">
        <v>582</v>
      </c>
      <c r="E394" s="23"/>
      <c r="F394" s="41" t="e">
        <f t="shared" si="75"/>
        <v>#DIV/0!</v>
      </c>
      <c r="G394" s="26"/>
      <c r="H394" s="98"/>
      <c r="I394" s="23">
        <v>12000</v>
      </c>
      <c r="J394" s="23"/>
      <c r="K394" s="23"/>
      <c r="L394" s="23"/>
      <c r="M394" s="23"/>
      <c r="N394" s="23"/>
      <c r="O394" s="188"/>
      <c r="P394" s="23"/>
      <c r="Q394" s="188"/>
      <c r="R394" s="23"/>
      <c r="S394" s="23"/>
      <c r="T394" s="23"/>
      <c r="U394" s="169"/>
      <c r="V394" s="169"/>
      <c r="W394" s="55"/>
      <c r="X394" s="148"/>
    </row>
    <row r="395" spans="1:27" ht="24.95" hidden="1" customHeight="1">
      <c r="A395" s="29"/>
      <c r="B395" s="21"/>
      <c r="C395" s="22"/>
      <c r="D395" s="22" t="s">
        <v>583</v>
      </c>
      <c r="E395" s="23"/>
      <c r="F395" s="41"/>
      <c r="G395" s="26"/>
      <c r="H395" s="98"/>
      <c r="I395" s="23">
        <v>3000</v>
      </c>
      <c r="J395" s="23"/>
      <c r="K395" s="23"/>
      <c r="L395" s="23"/>
      <c r="M395" s="23"/>
      <c r="N395" s="23"/>
      <c r="O395" s="188"/>
      <c r="P395" s="23"/>
      <c r="Q395" s="188"/>
      <c r="R395" s="23"/>
      <c r="S395" s="23"/>
      <c r="T395" s="23"/>
      <c r="U395" s="169"/>
      <c r="V395" s="169"/>
      <c r="W395" s="55"/>
      <c r="X395" s="148"/>
    </row>
    <row r="396" spans="1:27" ht="24.95" hidden="1" customHeight="1">
      <c r="A396" s="29"/>
      <c r="B396" s="21"/>
      <c r="C396" s="22"/>
      <c r="D396" s="22" t="s">
        <v>584</v>
      </c>
      <c r="E396" s="23"/>
      <c r="F396" s="41"/>
      <c r="G396" s="26"/>
      <c r="H396" s="98"/>
      <c r="I396" s="23">
        <v>3000</v>
      </c>
      <c r="J396" s="23"/>
      <c r="K396" s="23"/>
      <c r="L396" s="23"/>
      <c r="M396" s="23"/>
      <c r="N396" s="23"/>
      <c r="O396" s="188"/>
      <c r="P396" s="23"/>
      <c r="Q396" s="188"/>
      <c r="R396" s="23"/>
      <c r="S396" s="23"/>
      <c r="T396" s="23"/>
      <c r="U396" s="169"/>
      <c r="V396" s="169"/>
      <c r="W396" s="55"/>
      <c r="X396" s="148"/>
    </row>
    <row r="397" spans="1:27" ht="24.95" hidden="1" customHeight="1">
      <c r="A397" s="29"/>
      <c r="B397" s="21"/>
      <c r="C397" s="22"/>
      <c r="D397" s="22" t="s">
        <v>585</v>
      </c>
      <c r="E397" s="23"/>
      <c r="F397" s="41"/>
      <c r="G397" s="26"/>
      <c r="H397" s="98"/>
      <c r="I397" s="23">
        <v>3000</v>
      </c>
      <c r="J397" s="23"/>
      <c r="K397" s="23"/>
      <c r="L397" s="23"/>
      <c r="M397" s="23"/>
      <c r="N397" s="23"/>
      <c r="O397" s="188"/>
      <c r="P397" s="23"/>
      <c r="Q397" s="188"/>
      <c r="R397" s="23"/>
      <c r="S397" s="23"/>
      <c r="T397" s="23"/>
      <c r="U397" s="169"/>
      <c r="V397" s="169"/>
      <c r="W397" s="55"/>
      <c r="X397" s="148"/>
    </row>
    <row r="398" spans="1:27" ht="24.95" hidden="1" customHeight="1">
      <c r="A398" s="29"/>
      <c r="B398" s="21"/>
      <c r="C398" s="22"/>
      <c r="D398" s="22" t="s">
        <v>586</v>
      </c>
      <c r="E398" s="23"/>
      <c r="F398" s="41"/>
      <c r="G398" s="26"/>
      <c r="H398" s="98"/>
      <c r="I398" s="23">
        <v>3000</v>
      </c>
      <c r="J398" s="23"/>
      <c r="K398" s="23"/>
      <c r="L398" s="23"/>
      <c r="M398" s="23"/>
      <c r="N398" s="23"/>
      <c r="O398" s="188"/>
      <c r="P398" s="23"/>
      <c r="Q398" s="188"/>
      <c r="R398" s="23"/>
      <c r="S398" s="23"/>
      <c r="T398" s="23"/>
      <c r="U398" s="169"/>
      <c r="V398" s="169"/>
      <c r="W398" s="55"/>
      <c r="X398" s="148"/>
    </row>
    <row r="399" spans="1:27" ht="24.95" hidden="1" customHeight="1">
      <c r="A399" s="29"/>
      <c r="B399" s="21"/>
      <c r="C399" s="22"/>
      <c r="D399" s="22" t="s">
        <v>587</v>
      </c>
      <c r="E399" s="23"/>
      <c r="F399" s="41"/>
      <c r="G399" s="26"/>
      <c r="H399" s="98"/>
      <c r="I399" s="23">
        <v>12000</v>
      </c>
      <c r="J399" s="23"/>
      <c r="K399" s="23"/>
      <c r="L399" s="23"/>
      <c r="M399" s="23"/>
      <c r="N399" s="23"/>
      <c r="O399" s="188"/>
      <c r="P399" s="23"/>
      <c r="Q399" s="188"/>
      <c r="R399" s="23"/>
      <c r="S399" s="23"/>
      <c r="T399" s="23"/>
      <c r="U399" s="169"/>
      <c r="V399" s="169"/>
      <c r="W399" s="55"/>
      <c r="X399" s="148"/>
    </row>
    <row r="400" spans="1:27" ht="24.95" hidden="1" customHeight="1">
      <c r="A400" s="29"/>
      <c r="B400" s="21"/>
      <c r="C400" s="22"/>
      <c r="D400" s="22" t="s">
        <v>587</v>
      </c>
      <c r="E400" s="23"/>
      <c r="F400" s="41"/>
      <c r="G400" s="26"/>
      <c r="H400" s="98"/>
      <c r="I400" s="47">
        <v>12000</v>
      </c>
      <c r="J400" s="23"/>
      <c r="K400" s="23"/>
      <c r="L400" s="23"/>
      <c r="M400" s="23"/>
      <c r="N400" s="23"/>
      <c r="O400" s="188"/>
      <c r="P400" s="23"/>
      <c r="Q400" s="188"/>
      <c r="R400" s="23"/>
      <c r="S400" s="23"/>
      <c r="T400" s="23"/>
      <c r="U400" s="169"/>
      <c r="V400" s="169"/>
      <c r="W400" s="55"/>
      <c r="X400" s="148"/>
    </row>
    <row r="401" spans="1:24" s="2" customFormat="1" ht="24.95" customHeight="1">
      <c r="A401" s="29" t="s">
        <v>84</v>
      </c>
      <c r="B401" s="21" t="s">
        <v>0</v>
      </c>
      <c r="C401" s="22" t="s">
        <v>588</v>
      </c>
      <c r="D401" s="138" t="s">
        <v>589</v>
      </c>
      <c r="E401" s="23">
        <v>150000</v>
      </c>
      <c r="F401" s="41">
        <f t="shared" si="75"/>
        <v>0.68767333333333336</v>
      </c>
      <c r="G401" s="37">
        <v>104</v>
      </c>
      <c r="H401" s="98">
        <f>I401+J401</f>
        <v>103151</v>
      </c>
      <c r="I401" s="23">
        <f>SUM(I402:I448)</f>
        <v>71800</v>
      </c>
      <c r="J401" s="23">
        <f>K401+L401</f>
        <v>31351</v>
      </c>
      <c r="K401" s="23">
        <v>0</v>
      </c>
      <c r="L401" s="23">
        <v>31351</v>
      </c>
      <c r="M401" s="23">
        <f>N401+P401</f>
        <v>0</v>
      </c>
      <c r="N401" s="23">
        <v>0</v>
      </c>
      <c r="O401" s="188">
        <v>0</v>
      </c>
      <c r="P401" s="23">
        <v>0</v>
      </c>
      <c r="Q401" s="188">
        <v>0</v>
      </c>
      <c r="R401" s="23">
        <v>0</v>
      </c>
      <c r="S401" s="23">
        <v>102500</v>
      </c>
      <c r="T401" s="23">
        <f>J401/5000*100</f>
        <v>627.02</v>
      </c>
      <c r="U401" s="169">
        <v>600</v>
      </c>
      <c r="V401" s="169">
        <f t="shared" ref="V401" si="78">U401*2</f>
        <v>1200</v>
      </c>
      <c r="W401" s="55">
        <f>H401-R401-S401-U401</f>
        <v>51</v>
      </c>
      <c r="X401" s="148"/>
    </row>
    <row r="402" spans="1:24" s="2" customFormat="1" ht="24.95" hidden="1" customHeight="1">
      <c r="A402" s="29"/>
      <c r="B402" s="21"/>
      <c r="C402" s="22"/>
      <c r="D402" s="138" t="s">
        <v>590</v>
      </c>
      <c r="E402" s="23"/>
      <c r="F402" s="41" t="e">
        <f t="shared" si="75"/>
        <v>#DIV/0!</v>
      </c>
      <c r="G402" s="37"/>
      <c r="H402" s="98"/>
      <c r="I402" s="23">
        <v>1100</v>
      </c>
      <c r="J402" s="23"/>
      <c r="K402" s="23"/>
      <c r="L402" s="23"/>
      <c r="M402" s="23"/>
      <c r="N402" s="23"/>
      <c r="O402" s="188"/>
      <c r="P402" s="23"/>
      <c r="Q402" s="188"/>
      <c r="R402" s="23"/>
      <c r="S402" s="23"/>
      <c r="T402" s="23"/>
      <c r="U402" s="169"/>
      <c r="V402" s="169"/>
      <c r="W402" s="55"/>
      <c r="X402" s="148"/>
    </row>
    <row r="403" spans="1:24" s="2" customFormat="1" ht="24.95" hidden="1" customHeight="1">
      <c r="A403" s="29"/>
      <c r="B403" s="21"/>
      <c r="C403" s="22"/>
      <c r="D403" s="138" t="s">
        <v>591</v>
      </c>
      <c r="E403" s="23"/>
      <c r="F403" s="41" t="e">
        <f t="shared" si="75"/>
        <v>#DIV/0!</v>
      </c>
      <c r="G403" s="37"/>
      <c r="H403" s="98"/>
      <c r="I403" s="23">
        <v>6000</v>
      </c>
      <c r="J403" s="23"/>
      <c r="K403" s="23"/>
      <c r="L403" s="23"/>
      <c r="M403" s="23"/>
      <c r="N403" s="23"/>
      <c r="O403" s="188"/>
      <c r="P403" s="23"/>
      <c r="Q403" s="188"/>
      <c r="R403" s="23"/>
      <c r="S403" s="23"/>
      <c r="T403" s="23"/>
      <c r="U403" s="169"/>
      <c r="V403" s="169"/>
      <c r="W403" s="55"/>
      <c r="X403" s="148"/>
    </row>
    <row r="404" spans="1:24" s="2" customFormat="1" ht="24.95" hidden="1" customHeight="1">
      <c r="A404" s="29"/>
      <c r="B404" s="21"/>
      <c r="C404" s="22"/>
      <c r="D404" s="138" t="s">
        <v>592</v>
      </c>
      <c r="E404" s="23"/>
      <c r="F404" s="41" t="e">
        <f t="shared" si="75"/>
        <v>#DIV/0!</v>
      </c>
      <c r="G404" s="37"/>
      <c r="H404" s="98"/>
      <c r="I404" s="23">
        <v>1000</v>
      </c>
      <c r="J404" s="23"/>
      <c r="K404" s="23"/>
      <c r="L404" s="23"/>
      <c r="M404" s="23"/>
      <c r="N404" s="23"/>
      <c r="O404" s="188"/>
      <c r="P404" s="23"/>
      <c r="Q404" s="188"/>
      <c r="R404" s="23"/>
      <c r="S404" s="23"/>
      <c r="T404" s="23"/>
      <c r="U404" s="169"/>
      <c r="V404" s="169"/>
      <c r="W404" s="55"/>
      <c r="X404" s="148"/>
    </row>
    <row r="405" spans="1:24" s="2" customFormat="1" ht="24.95" hidden="1" customHeight="1">
      <c r="A405" s="29"/>
      <c r="B405" s="21"/>
      <c r="C405" s="22"/>
      <c r="D405" s="138" t="s">
        <v>593</v>
      </c>
      <c r="E405" s="23"/>
      <c r="F405" s="41" t="e">
        <f t="shared" si="75"/>
        <v>#DIV/0!</v>
      </c>
      <c r="G405" s="37"/>
      <c r="H405" s="98"/>
      <c r="I405" s="23">
        <v>4000</v>
      </c>
      <c r="J405" s="23"/>
      <c r="K405" s="23"/>
      <c r="L405" s="23"/>
      <c r="M405" s="23"/>
      <c r="N405" s="23"/>
      <c r="O405" s="188"/>
      <c r="P405" s="23"/>
      <c r="Q405" s="188"/>
      <c r="R405" s="23"/>
      <c r="S405" s="23"/>
      <c r="T405" s="23"/>
      <c r="U405" s="169"/>
      <c r="V405" s="169"/>
      <c r="W405" s="55"/>
      <c r="X405" s="148"/>
    </row>
    <row r="406" spans="1:24" s="2" customFormat="1" ht="24.95" hidden="1" customHeight="1">
      <c r="A406" s="29"/>
      <c r="B406" s="21"/>
      <c r="C406" s="22"/>
      <c r="D406" s="138" t="s">
        <v>594</v>
      </c>
      <c r="E406" s="23"/>
      <c r="F406" s="41" t="e">
        <f t="shared" si="75"/>
        <v>#DIV/0!</v>
      </c>
      <c r="G406" s="37"/>
      <c r="H406" s="98"/>
      <c r="I406" s="23">
        <v>8000</v>
      </c>
      <c r="J406" s="23"/>
      <c r="K406" s="23"/>
      <c r="L406" s="23"/>
      <c r="M406" s="23"/>
      <c r="N406" s="23"/>
      <c r="O406" s="188"/>
      <c r="P406" s="23"/>
      <c r="Q406" s="188"/>
      <c r="R406" s="23"/>
      <c r="S406" s="23"/>
      <c r="T406" s="23"/>
      <c r="U406" s="169"/>
      <c r="V406" s="169"/>
      <c r="W406" s="55"/>
      <c r="X406" s="148"/>
    </row>
    <row r="407" spans="1:24" s="2" customFormat="1" ht="24.95" hidden="1" customHeight="1">
      <c r="A407" s="29"/>
      <c r="B407" s="21"/>
      <c r="C407" s="22"/>
      <c r="D407" s="138" t="s">
        <v>595</v>
      </c>
      <c r="E407" s="23"/>
      <c r="F407" s="41" t="e">
        <f t="shared" si="75"/>
        <v>#DIV/0!</v>
      </c>
      <c r="G407" s="37"/>
      <c r="H407" s="98"/>
      <c r="I407" s="23">
        <v>8000</v>
      </c>
      <c r="J407" s="23"/>
      <c r="K407" s="23"/>
      <c r="L407" s="23"/>
      <c r="M407" s="23"/>
      <c r="N407" s="23"/>
      <c r="O407" s="188"/>
      <c r="P407" s="23"/>
      <c r="Q407" s="188"/>
      <c r="R407" s="23"/>
      <c r="S407" s="23"/>
      <c r="T407" s="23"/>
      <c r="U407" s="169"/>
      <c r="V407" s="169"/>
      <c r="W407" s="55"/>
      <c r="X407" s="148"/>
    </row>
    <row r="408" spans="1:24" s="2" customFormat="1" ht="24.95" hidden="1" customHeight="1">
      <c r="A408" s="29"/>
      <c r="B408" s="21"/>
      <c r="C408" s="22"/>
      <c r="D408" s="138" t="s">
        <v>596</v>
      </c>
      <c r="E408" s="23"/>
      <c r="F408" s="41" t="e">
        <f t="shared" si="75"/>
        <v>#DIV/0!</v>
      </c>
      <c r="G408" s="37"/>
      <c r="H408" s="98"/>
      <c r="I408" s="23">
        <v>1100</v>
      </c>
      <c r="J408" s="23"/>
      <c r="K408" s="23"/>
      <c r="L408" s="23"/>
      <c r="M408" s="23"/>
      <c r="N408" s="23"/>
      <c r="O408" s="188"/>
      <c r="P408" s="23"/>
      <c r="Q408" s="188"/>
      <c r="R408" s="23"/>
      <c r="S408" s="23"/>
      <c r="T408" s="23"/>
      <c r="U408" s="169"/>
      <c r="V408" s="169"/>
      <c r="W408" s="55"/>
      <c r="X408" s="148"/>
    </row>
    <row r="409" spans="1:24" s="2" customFormat="1" ht="24.95" hidden="1" customHeight="1">
      <c r="A409" s="29"/>
      <c r="B409" s="21"/>
      <c r="C409" s="22"/>
      <c r="D409" s="138" t="s">
        <v>597</v>
      </c>
      <c r="E409" s="23"/>
      <c r="F409" s="41" t="e">
        <f t="shared" si="75"/>
        <v>#DIV/0!</v>
      </c>
      <c r="G409" s="37"/>
      <c r="H409" s="98"/>
      <c r="I409" s="23">
        <v>6000</v>
      </c>
      <c r="J409" s="23"/>
      <c r="K409" s="23"/>
      <c r="L409" s="23"/>
      <c r="M409" s="23"/>
      <c r="N409" s="23"/>
      <c r="O409" s="188"/>
      <c r="P409" s="23"/>
      <c r="Q409" s="188"/>
      <c r="R409" s="23"/>
      <c r="S409" s="23"/>
      <c r="T409" s="23"/>
      <c r="U409" s="169"/>
      <c r="V409" s="169"/>
      <c r="W409" s="55"/>
      <c r="X409" s="148"/>
    </row>
    <row r="410" spans="1:24" s="2" customFormat="1" ht="24.95" hidden="1" customHeight="1">
      <c r="A410" s="29"/>
      <c r="B410" s="21"/>
      <c r="C410" s="22"/>
      <c r="D410" s="138" t="s">
        <v>598</v>
      </c>
      <c r="E410" s="23"/>
      <c r="F410" s="41" t="e">
        <f t="shared" si="75"/>
        <v>#DIV/0!</v>
      </c>
      <c r="G410" s="37"/>
      <c r="H410" s="98"/>
      <c r="I410" s="23">
        <v>1000</v>
      </c>
      <c r="J410" s="23"/>
      <c r="K410" s="23"/>
      <c r="L410" s="23"/>
      <c r="M410" s="23"/>
      <c r="N410" s="23"/>
      <c r="O410" s="188"/>
      <c r="P410" s="23"/>
      <c r="Q410" s="188"/>
      <c r="R410" s="23"/>
      <c r="S410" s="23"/>
      <c r="T410" s="23"/>
      <c r="U410" s="169"/>
      <c r="V410" s="169"/>
      <c r="W410" s="55"/>
      <c r="X410" s="148"/>
    </row>
    <row r="411" spans="1:24" s="2" customFormat="1" ht="24.95" hidden="1" customHeight="1">
      <c r="A411" s="29"/>
      <c r="B411" s="21"/>
      <c r="C411" s="22"/>
      <c r="D411" s="138" t="s">
        <v>599</v>
      </c>
      <c r="E411" s="23"/>
      <c r="F411" s="41" t="e">
        <f t="shared" si="75"/>
        <v>#DIV/0!</v>
      </c>
      <c r="G411" s="37"/>
      <c r="H411" s="98"/>
      <c r="I411" s="23">
        <v>1000</v>
      </c>
      <c r="J411" s="23"/>
      <c r="K411" s="23"/>
      <c r="L411" s="23"/>
      <c r="M411" s="23"/>
      <c r="N411" s="23"/>
      <c r="O411" s="188"/>
      <c r="P411" s="23"/>
      <c r="Q411" s="188"/>
      <c r="R411" s="23"/>
      <c r="S411" s="23"/>
      <c r="T411" s="23"/>
      <c r="U411" s="169"/>
      <c r="V411" s="169"/>
      <c r="W411" s="55"/>
      <c r="X411" s="148"/>
    </row>
    <row r="412" spans="1:24" s="2" customFormat="1" ht="24.95" hidden="1" customHeight="1">
      <c r="A412" s="29"/>
      <c r="B412" s="21"/>
      <c r="C412" s="22"/>
      <c r="D412" s="138" t="s">
        <v>600</v>
      </c>
      <c r="E412" s="23"/>
      <c r="F412" s="41" t="e">
        <f t="shared" si="75"/>
        <v>#DIV/0!</v>
      </c>
      <c r="G412" s="37"/>
      <c r="H412" s="98"/>
      <c r="I412" s="23">
        <v>1000</v>
      </c>
      <c r="J412" s="23"/>
      <c r="K412" s="23"/>
      <c r="L412" s="23"/>
      <c r="M412" s="23"/>
      <c r="N412" s="23"/>
      <c r="O412" s="188"/>
      <c r="P412" s="23"/>
      <c r="Q412" s="188"/>
      <c r="R412" s="23"/>
      <c r="S412" s="23"/>
      <c r="T412" s="23"/>
      <c r="U412" s="169"/>
      <c r="V412" s="169"/>
      <c r="W412" s="55"/>
      <c r="X412" s="148"/>
    </row>
    <row r="413" spans="1:24" s="2" customFormat="1" ht="24.95" hidden="1" customHeight="1">
      <c r="A413" s="29"/>
      <c r="B413" s="21"/>
      <c r="C413" s="22"/>
      <c r="D413" s="138" t="s">
        <v>601</v>
      </c>
      <c r="E413" s="23"/>
      <c r="F413" s="41" t="e">
        <f t="shared" si="75"/>
        <v>#DIV/0!</v>
      </c>
      <c r="G413" s="37"/>
      <c r="H413" s="98"/>
      <c r="I413" s="23">
        <v>500</v>
      </c>
      <c r="J413" s="23"/>
      <c r="K413" s="23"/>
      <c r="L413" s="23"/>
      <c r="M413" s="23"/>
      <c r="N413" s="23"/>
      <c r="O413" s="188"/>
      <c r="P413" s="23"/>
      <c r="Q413" s="188"/>
      <c r="R413" s="23"/>
      <c r="S413" s="23"/>
      <c r="T413" s="23"/>
      <c r="U413" s="169"/>
      <c r="V413" s="169"/>
      <c r="W413" s="55"/>
      <c r="X413" s="148"/>
    </row>
    <row r="414" spans="1:24" s="2" customFormat="1" ht="24.95" hidden="1" customHeight="1">
      <c r="A414" s="29"/>
      <c r="B414" s="21"/>
      <c r="C414" s="22"/>
      <c r="D414" s="138" t="s">
        <v>602</v>
      </c>
      <c r="E414" s="23"/>
      <c r="F414" s="41" t="e">
        <f t="shared" si="75"/>
        <v>#DIV/0!</v>
      </c>
      <c r="G414" s="37"/>
      <c r="H414" s="98"/>
      <c r="I414" s="23">
        <v>1100</v>
      </c>
      <c r="J414" s="23"/>
      <c r="K414" s="23"/>
      <c r="L414" s="23"/>
      <c r="M414" s="23"/>
      <c r="N414" s="23"/>
      <c r="O414" s="188"/>
      <c r="P414" s="23"/>
      <c r="Q414" s="188"/>
      <c r="R414" s="23"/>
      <c r="S414" s="23"/>
      <c r="T414" s="23"/>
      <c r="U414" s="169"/>
      <c r="V414" s="169"/>
      <c r="W414" s="55"/>
      <c r="X414" s="148"/>
    </row>
    <row r="415" spans="1:24" s="2" customFormat="1" ht="24.95" hidden="1" customHeight="1">
      <c r="A415" s="29"/>
      <c r="B415" s="21"/>
      <c r="C415" s="22"/>
      <c r="D415" s="138" t="s">
        <v>603</v>
      </c>
      <c r="E415" s="23"/>
      <c r="F415" s="41" t="e">
        <f t="shared" si="75"/>
        <v>#DIV/0!</v>
      </c>
      <c r="G415" s="37"/>
      <c r="H415" s="98"/>
      <c r="I415" s="23">
        <v>1100</v>
      </c>
      <c r="J415" s="23"/>
      <c r="K415" s="23"/>
      <c r="L415" s="23"/>
      <c r="M415" s="23"/>
      <c r="N415" s="23"/>
      <c r="O415" s="188"/>
      <c r="P415" s="23"/>
      <c r="Q415" s="188"/>
      <c r="R415" s="23"/>
      <c r="S415" s="23"/>
      <c r="T415" s="23"/>
      <c r="U415" s="169"/>
      <c r="V415" s="169"/>
      <c r="W415" s="55"/>
      <c r="X415" s="148"/>
    </row>
    <row r="416" spans="1:24" s="2" customFormat="1" ht="24.95" hidden="1" customHeight="1">
      <c r="A416" s="29"/>
      <c r="B416" s="21"/>
      <c r="C416" s="22"/>
      <c r="D416" s="138" t="s">
        <v>604</v>
      </c>
      <c r="E416" s="23"/>
      <c r="F416" s="41" t="e">
        <f t="shared" si="75"/>
        <v>#DIV/0!</v>
      </c>
      <c r="G416" s="37"/>
      <c r="H416" s="98"/>
      <c r="I416" s="23">
        <v>1000</v>
      </c>
      <c r="J416" s="23"/>
      <c r="K416" s="23"/>
      <c r="L416" s="23"/>
      <c r="M416" s="23"/>
      <c r="N416" s="23"/>
      <c r="O416" s="188"/>
      <c r="P416" s="23"/>
      <c r="Q416" s="188"/>
      <c r="R416" s="23"/>
      <c r="S416" s="23"/>
      <c r="T416" s="23"/>
      <c r="U416" s="169"/>
      <c r="V416" s="169"/>
      <c r="W416" s="55"/>
      <c r="X416" s="148"/>
    </row>
    <row r="417" spans="1:24" s="2" customFormat="1" ht="24.95" hidden="1" customHeight="1">
      <c r="A417" s="29"/>
      <c r="B417" s="21"/>
      <c r="C417" s="22"/>
      <c r="D417" s="138" t="s">
        <v>605</v>
      </c>
      <c r="E417" s="23"/>
      <c r="F417" s="41" t="e">
        <f t="shared" si="75"/>
        <v>#DIV/0!</v>
      </c>
      <c r="G417" s="37"/>
      <c r="H417" s="98"/>
      <c r="I417" s="23">
        <v>500</v>
      </c>
      <c r="J417" s="23"/>
      <c r="K417" s="23"/>
      <c r="L417" s="23"/>
      <c r="M417" s="23"/>
      <c r="N417" s="23"/>
      <c r="O417" s="188"/>
      <c r="P417" s="23"/>
      <c r="Q417" s="188"/>
      <c r="R417" s="23"/>
      <c r="S417" s="23"/>
      <c r="T417" s="23"/>
      <c r="U417" s="169"/>
      <c r="V417" s="169"/>
      <c r="W417" s="55"/>
      <c r="X417" s="148"/>
    </row>
    <row r="418" spans="1:24" s="2" customFormat="1" ht="24.95" hidden="1" customHeight="1">
      <c r="A418" s="29"/>
      <c r="B418" s="21"/>
      <c r="C418" s="22"/>
      <c r="D418" s="138" t="s">
        <v>606</v>
      </c>
      <c r="E418" s="23"/>
      <c r="F418" s="41" t="e">
        <f t="shared" si="75"/>
        <v>#DIV/0!</v>
      </c>
      <c r="G418" s="37"/>
      <c r="H418" s="98"/>
      <c r="I418" s="23">
        <v>1100</v>
      </c>
      <c r="J418" s="23"/>
      <c r="K418" s="23"/>
      <c r="L418" s="23"/>
      <c r="M418" s="23"/>
      <c r="N418" s="23"/>
      <c r="O418" s="188"/>
      <c r="P418" s="23"/>
      <c r="Q418" s="188"/>
      <c r="R418" s="23"/>
      <c r="S418" s="23"/>
      <c r="T418" s="23"/>
      <c r="U418" s="169"/>
      <c r="V418" s="169"/>
      <c r="W418" s="55"/>
      <c r="X418" s="148"/>
    </row>
    <row r="419" spans="1:24" s="2" customFormat="1" ht="24.95" hidden="1" customHeight="1">
      <c r="A419" s="29"/>
      <c r="B419" s="21"/>
      <c r="C419" s="22"/>
      <c r="D419" s="138" t="s">
        <v>607</v>
      </c>
      <c r="E419" s="23"/>
      <c r="F419" s="41" t="e">
        <f t="shared" si="75"/>
        <v>#DIV/0!</v>
      </c>
      <c r="G419" s="37"/>
      <c r="H419" s="98"/>
      <c r="I419" s="23">
        <v>1000</v>
      </c>
      <c r="J419" s="23"/>
      <c r="K419" s="23"/>
      <c r="L419" s="23"/>
      <c r="M419" s="23"/>
      <c r="N419" s="23"/>
      <c r="O419" s="188"/>
      <c r="P419" s="23"/>
      <c r="Q419" s="188"/>
      <c r="R419" s="23"/>
      <c r="S419" s="23"/>
      <c r="T419" s="23"/>
      <c r="U419" s="169"/>
      <c r="V419" s="169"/>
      <c r="W419" s="55"/>
      <c r="X419" s="148"/>
    </row>
    <row r="420" spans="1:24" s="2" customFormat="1" ht="24.95" hidden="1" customHeight="1">
      <c r="A420" s="29"/>
      <c r="B420" s="21"/>
      <c r="C420" s="22"/>
      <c r="D420" s="138" t="s">
        <v>608</v>
      </c>
      <c r="E420" s="23"/>
      <c r="F420" s="41" t="e">
        <f t="shared" si="75"/>
        <v>#DIV/0!</v>
      </c>
      <c r="G420" s="37"/>
      <c r="H420" s="98"/>
      <c r="I420" s="23">
        <v>1000</v>
      </c>
      <c r="J420" s="23"/>
      <c r="K420" s="23"/>
      <c r="L420" s="23"/>
      <c r="M420" s="23"/>
      <c r="N420" s="23"/>
      <c r="O420" s="188"/>
      <c r="P420" s="23"/>
      <c r="Q420" s="188"/>
      <c r="R420" s="23"/>
      <c r="S420" s="23"/>
      <c r="T420" s="23"/>
      <c r="U420" s="169"/>
      <c r="V420" s="169"/>
      <c r="W420" s="55"/>
      <c r="X420" s="148"/>
    </row>
    <row r="421" spans="1:24" s="2" customFormat="1" ht="24.95" hidden="1" customHeight="1">
      <c r="A421" s="29"/>
      <c r="B421" s="21"/>
      <c r="C421" s="22"/>
      <c r="D421" s="138" t="s">
        <v>609</v>
      </c>
      <c r="E421" s="23"/>
      <c r="F421" s="41" t="e">
        <f t="shared" si="75"/>
        <v>#DIV/0!</v>
      </c>
      <c r="G421" s="37"/>
      <c r="H421" s="98"/>
      <c r="I421" s="23">
        <v>1000</v>
      </c>
      <c r="J421" s="23"/>
      <c r="K421" s="23"/>
      <c r="L421" s="23"/>
      <c r="M421" s="23"/>
      <c r="N421" s="23"/>
      <c r="O421" s="188"/>
      <c r="P421" s="23"/>
      <c r="Q421" s="188"/>
      <c r="R421" s="23"/>
      <c r="S421" s="23"/>
      <c r="T421" s="23"/>
      <c r="U421" s="169"/>
      <c r="V421" s="169"/>
      <c r="W421" s="55"/>
      <c r="X421" s="148"/>
    </row>
    <row r="422" spans="1:24" s="2" customFormat="1" ht="24.95" hidden="1" customHeight="1">
      <c r="A422" s="29"/>
      <c r="B422" s="21"/>
      <c r="C422" s="22"/>
      <c r="D422" s="138" t="s">
        <v>610</v>
      </c>
      <c r="E422" s="23"/>
      <c r="F422" s="41" t="e">
        <f t="shared" si="75"/>
        <v>#DIV/0!</v>
      </c>
      <c r="G422" s="37"/>
      <c r="H422" s="98"/>
      <c r="I422" s="23">
        <v>1000</v>
      </c>
      <c r="J422" s="23"/>
      <c r="K422" s="23"/>
      <c r="L422" s="23"/>
      <c r="M422" s="23"/>
      <c r="N422" s="23"/>
      <c r="O422" s="188"/>
      <c r="P422" s="23"/>
      <c r="Q422" s="188"/>
      <c r="R422" s="23"/>
      <c r="S422" s="23"/>
      <c r="T422" s="23"/>
      <c r="U422" s="169"/>
      <c r="V422" s="169"/>
      <c r="W422" s="55"/>
      <c r="X422" s="148"/>
    </row>
    <row r="423" spans="1:24" s="2" customFormat="1" ht="24.95" hidden="1" customHeight="1">
      <c r="A423" s="29"/>
      <c r="B423" s="21"/>
      <c r="C423" s="22"/>
      <c r="D423" s="138" t="s">
        <v>611</v>
      </c>
      <c r="E423" s="23"/>
      <c r="F423" s="41" t="e">
        <f t="shared" si="75"/>
        <v>#DIV/0!</v>
      </c>
      <c r="G423" s="37"/>
      <c r="H423" s="98"/>
      <c r="I423" s="23">
        <v>1000</v>
      </c>
      <c r="J423" s="23"/>
      <c r="K423" s="23"/>
      <c r="L423" s="23"/>
      <c r="M423" s="23"/>
      <c r="N423" s="23"/>
      <c r="O423" s="188"/>
      <c r="P423" s="23"/>
      <c r="Q423" s="188"/>
      <c r="R423" s="23"/>
      <c r="S423" s="23"/>
      <c r="T423" s="23"/>
      <c r="U423" s="169"/>
      <c r="V423" s="169"/>
      <c r="W423" s="55"/>
      <c r="X423" s="148"/>
    </row>
    <row r="424" spans="1:24" s="2" customFormat="1" ht="24.95" hidden="1" customHeight="1">
      <c r="A424" s="29"/>
      <c r="B424" s="21"/>
      <c r="C424" s="22"/>
      <c r="D424" s="138" t="s">
        <v>612</v>
      </c>
      <c r="E424" s="23"/>
      <c r="F424" s="41" t="e">
        <f t="shared" si="75"/>
        <v>#DIV/0!</v>
      </c>
      <c r="G424" s="37"/>
      <c r="H424" s="98"/>
      <c r="I424" s="23">
        <v>1000</v>
      </c>
      <c r="J424" s="23"/>
      <c r="K424" s="23"/>
      <c r="L424" s="23"/>
      <c r="M424" s="23"/>
      <c r="N424" s="23"/>
      <c r="O424" s="188"/>
      <c r="P424" s="23"/>
      <c r="Q424" s="188"/>
      <c r="R424" s="23"/>
      <c r="S424" s="23"/>
      <c r="T424" s="23"/>
      <c r="U424" s="169"/>
      <c r="V424" s="169"/>
      <c r="W424" s="55"/>
      <c r="X424" s="148"/>
    </row>
    <row r="425" spans="1:24" s="2" customFormat="1" ht="24.95" hidden="1" customHeight="1">
      <c r="A425" s="29"/>
      <c r="B425" s="21"/>
      <c r="C425" s="22"/>
      <c r="D425" s="138" t="s">
        <v>613</v>
      </c>
      <c r="E425" s="23"/>
      <c r="F425" s="41" t="e">
        <f t="shared" si="75"/>
        <v>#DIV/0!</v>
      </c>
      <c r="G425" s="37"/>
      <c r="H425" s="98"/>
      <c r="I425" s="23">
        <v>1000</v>
      </c>
      <c r="J425" s="23"/>
      <c r="K425" s="23"/>
      <c r="L425" s="23"/>
      <c r="M425" s="23"/>
      <c r="N425" s="23"/>
      <c r="O425" s="188"/>
      <c r="P425" s="23"/>
      <c r="Q425" s="188"/>
      <c r="R425" s="23"/>
      <c r="S425" s="23"/>
      <c r="T425" s="23"/>
      <c r="U425" s="169"/>
      <c r="V425" s="169"/>
      <c r="W425" s="55"/>
      <c r="X425" s="148"/>
    </row>
    <row r="426" spans="1:24" s="2" customFormat="1" ht="24.95" hidden="1" customHeight="1">
      <c r="A426" s="29"/>
      <c r="B426" s="21"/>
      <c r="C426" s="22"/>
      <c r="D426" s="138" t="s">
        <v>614</v>
      </c>
      <c r="E426" s="23"/>
      <c r="F426" s="41" t="e">
        <f t="shared" si="75"/>
        <v>#DIV/0!</v>
      </c>
      <c r="G426" s="37"/>
      <c r="H426" s="98"/>
      <c r="I426" s="23">
        <v>500</v>
      </c>
      <c r="J426" s="23"/>
      <c r="K426" s="23"/>
      <c r="L426" s="23"/>
      <c r="M426" s="23"/>
      <c r="N426" s="23"/>
      <c r="O426" s="188"/>
      <c r="P426" s="23"/>
      <c r="Q426" s="188"/>
      <c r="R426" s="23"/>
      <c r="S426" s="23"/>
      <c r="T426" s="23"/>
      <c r="U426" s="169"/>
      <c r="V426" s="169"/>
      <c r="W426" s="55"/>
      <c r="X426" s="148"/>
    </row>
    <row r="427" spans="1:24" s="2" customFormat="1" ht="24.95" hidden="1" customHeight="1">
      <c r="A427" s="29"/>
      <c r="B427" s="21"/>
      <c r="C427" s="22"/>
      <c r="D427" s="138" t="s">
        <v>615</v>
      </c>
      <c r="E427" s="23"/>
      <c r="F427" s="41" t="e">
        <f t="shared" si="75"/>
        <v>#DIV/0!</v>
      </c>
      <c r="G427" s="37"/>
      <c r="H427" s="98"/>
      <c r="I427" s="23">
        <v>1000</v>
      </c>
      <c r="J427" s="23"/>
      <c r="K427" s="23"/>
      <c r="L427" s="23"/>
      <c r="M427" s="23"/>
      <c r="N427" s="23"/>
      <c r="O427" s="188"/>
      <c r="P427" s="23"/>
      <c r="Q427" s="188"/>
      <c r="R427" s="23"/>
      <c r="S427" s="23"/>
      <c r="T427" s="23"/>
      <c r="U427" s="169"/>
      <c r="V427" s="169"/>
      <c r="W427" s="55"/>
      <c r="X427" s="148"/>
    </row>
    <row r="428" spans="1:24" s="2" customFormat="1" ht="24.95" hidden="1" customHeight="1">
      <c r="A428" s="29"/>
      <c r="B428" s="21"/>
      <c r="C428" s="22"/>
      <c r="D428" s="138" t="s">
        <v>616</v>
      </c>
      <c r="E428" s="23"/>
      <c r="F428" s="41" t="e">
        <f t="shared" si="75"/>
        <v>#DIV/0!</v>
      </c>
      <c r="G428" s="37"/>
      <c r="H428" s="98"/>
      <c r="I428" s="23">
        <v>1000</v>
      </c>
      <c r="J428" s="23"/>
      <c r="K428" s="23"/>
      <c r="L428" s="23"/>
      <c r="M428" s="23"/>
      <c r="N428" s="23"/>
      <c r="O428" s="188"/>
      <c r="P428" s="23"/>
      <c r="Q428" s="188"/>
      <c r="R428" s="23"/>
      <c r="S428" s="23"/>
      <c r="T428" s="23"/>
      <c r="U428" s="169"/>
      <c r="V428" s="169"/>
      <c r="W428" s="55"/>
      <c r="X428" s="148"/>
    </row>
    <row r="429" spans="1:24" s="2" customFormat="1" ht="24.95" hidden="1" customHeight="1">
      <c r="A429" s="29"/>
      <c r="B429" s="21"/>
      <c r="C429" s="22"/>
      <c r="D429" s="138" t="s">
        <v>614</v>
      </c>
      <c r="E429" s="23"/>
      <c r="F429" s="41" t="e">
        <f t="shared" si="75"/>
        <v>#DIV/0!</v>
      </c>
      <c r="G429" s="37"/>
      <c r="H429" s="98"/>
      <c r="I429" s="23">
        <v>500</v>
      </c>
      <c r="J429" s="23"/>
      <c r="K429" s="23"/>
      <c r="L429" s="23"/>
      <c r="M429" s="23"/>
      <c r="N429" s="23"/>
      <c r="O429" s="188"/>
      <c r="P429" s="23"/>
      <c r="Q429" s="188"/>
      <c r="R429" s="23"/>
      <c r="S429" s="23"/>
      <c r="T429" s="23"/>
      <c r="U429" s="169"/>
      <c r="V429" s="169"/>
      <c r="W429" s="55"/>
      <c r="X429" s="148"/>
    </row>
    <row r="430" spans="1:24" s="2" customFormat="1" ht="24.95" hidden="1" customHeight="1">
      <c r="A430" s="29"/>
      <c r="B430" s="21"/>
      <c r="C430" s="22"/>
      <c r="D430" s="138" t="s">
        <v>617</v>
      </c>
      <c r="E430" s="23"/>
      <c r="F430" s="41" t="e">
        <f t="shared" si="75"/>
        <v>#DIV/0!</v>
      </c>
      <c r="G430" s="37"/>
      <c r="H430" s="98"/>
      <c r="I430" s="23">
        <v>1000</v>
      </c>
      <c r="J430" s="23"/>
      <c r="K430" s="23"/>
      <c r="L430" s="23"/>
      <c r="M430" s="23"/>
      <c r="N430" s="23"/>
      <c r="O430" s="188"/>
      <c r="P430" s="23"/>
      <c r="Q430" s="188"/>
      <c r="R430" s="23"/>
      <c r="S430" s="23"/>
      <c r="T430" s="23"/>
      <c r="U430" s="169"/>
      <c r="V430" s="169"/>
      <c r="W430" s="55"/>
      <c r="X430" s="148"/>
    </row>
    <row r="431" spans="1:24" s="2" customFormat="1" ht="24.95" hidden="1" customHeight="1">
      <c r="A431" s="29"/>
      <c r="B431" s="21"/>
      <c r="C431" s="22"/>
      <c r="D431" s="138" t="s">
        <v>618</v>
      </c>
      <c r="E431" s="23"/>
      <c r="F431" s="41" t="e">
        <f t="shared" si="75"/>
        <v>#DIV/0!</v>
      </c>
      <c r="G431" s="37"/>
      <c r="H431" s="98"/>
      <c r="I431" s="23">
        <v>1000</v>
      </c>
      <c r="J431" s="23"/>
      <c r="K431" s="23"/>
      <c r="L431" s="23"/>
      <c r="M431" s="23"/>
      <c r="N431" s="23"/>
      <c r="O431" s="188"/>
      <c r="P431" s="23"/>
      <c r="Q431" s="188"/>
      <c r="R431" s="23"/>
      <c r="S431" s="23"/>
      <c r="T431" s="23"/>
      <c r="U431" s="169"/>
      <c r="V431" s="169"/>
      <c r="W431" s="55"/>
      <c r="X431" s="148"/>
    </row>
    <row r="432" spans="1:24" s="2" customFormat="1" ht="24.95" hidden="1" customHeight="1">
      <c r="A432" s="29"/>
      <c r="B432" s="21"/>
      <c r="C432" s="22"/>
      <c r="D432" s="138" t="s">
        <v>619</v>
      </c>
      <c r="E432" s="23"/>
      <c r="F432" s="41" t="e">
        <f t="shared" si="75"/>
        <v>#DIV/0!</v>
      </c>
      <c r="G432" s="37"/>
      <c r="H432" s="98"/>
      <c r="I432" s="23">
        <v>1000</v>
      </c>
      <c r="J432" s="23"/>
      <c r="K432" s="23"/>
      <c r="L432" s="23"/>
      <c r="M432" s="23"/>
      <c r="N432" s="23"/>
      <c r="O432" s="188"/>
      <c r="P432" s="23"/>
      <c r="Q432" s="188"/>
      <c r="R432" s="23"/>
      <c r="S432" s="23"/>
      <c r="T432" s="23"/>
      <c r="U432" s="169"/>
      <c r="V432" s="169"/>
      <c r="W432" s="55"/>
      <c r="X432" s="148"/>
    </row>
    <row r="433" spans="1:24" s="2" customFormat="1" ht="24.95" hidden="1" customHeight="1">
      <c r="A433" s="29"/>
      <c r="B433" s="21"/>
      <c r="C433" s="22"/>
      <c r="D433" s="138" t="s">
        <v>620</v>
      </c>
      <c r="E433" s="23"/>
      <c r="F433" s="41" t="e">
        <f t="shared" si="75"/>
        <v>#DIV/0!</v>
      </c>
      <c r="G433" s="37"/>
      <c r="H433" s="98"/>
      <c r="I433" s="23">
        <v>1000</v>
      </c>
      <c r="J433" s="23"/>
      <c r="K433" s="23"/>
      <c r="L433" s="23"/>
      <c r="M433" s="23"/>
      <c r="N433" s="23"/>
      <c r="O433" s="188"/>
      <c r="P433" s="23"/>
      <c r="Q433" s="188"/>
      <c r="R433" s="23"/>
      <c r="S433" s="23"/>
      <c r="T433" s="23"/>
      <c r="U433" s="169"/>
      <c r="V433" s="169"/>
      <c r="W433" s="55"/>
      <c r="X433" s="148"/>
    </row>
    <row r="434" spans="1:24" s="2" customFormat="1" ht="24.95" hidden="1" customHeight="1">
      <c r="A434" s="29"/>
      <c r="B434" s="21"/>
      <c r="C434" s="22"/>
      <c r="D434" s="138" t="s">
        <v>621</v>
      </c>
      <c r="E434" s="23"/>
      <c r="F434" s="41" t="e">
        <f t="shared" si="75"/>
        <v>#DIV/0!</v>
      </c>
      <c r="G434" s="37"/>
      <c r="H434" s="98"/>
      <c r="I434" s="23">
        <v>1000</v>
      </c>
      <c r="J434" s="23"/>
      <c r="K434" s="23"/>
      <c r="L434" s="23"/>
      <c r="M434" s="23"/>
      <c r="N434" s="23"/>
      <c r="O434" s="188"/>
      <c r="P434" s="23"/>
      <c r="Q434" s="188"/>
      <c r="R434" s="23"/>
      <c r="S434" s="23"/>
      <c r="T434" s="23"/>
      <c r="U434" s="169"/>
      <c r="V434" s="169"/>
      <c r="W434" s="55"/>
      <c r="X434" s="148"/>
    </row>
    <row r="435" spans="1:24" s="2" customFormat="1" ht="24.95" hidden="1" customHeight="1">
      <c r="A435" s="29"/>
      <c r="B435" s="21"/>
      <c r="C435" s="22"/>
      <c r="D435" s="138" t="s">
        <v>622</v>
      </c>
      <c r="E435" s="23"/>
      <c r="F435" s="41" t="e">
        <f t="shared" si="75"/>
        <v>#DIV/0!</v>
      </c>
      <c r="G435" s="37"/>
      <c r="H435" s="98"/>
      <c r="I435" s="23">
        <v>1000</v>
      </c>
      <c r="J435" s="23"/>
      <c r="K435" s="23"/>
      <c r="L435" s="23"/>
      <c r="M435" s="23"/>
      <c r="N435" s="23"/>
      <c r="O435" s="188"/>
      <c r="P435" s="23"/>
      <c r="Q435" s="188"/>
      <c r="R435" s="23"/>
      <c r="S435" s="23"/>
      <c r="T435" s="23"/>
      <c r="U435" s="169"/>
      <c r="V435" s="169"/>
      <c r="W435" s="55"/>
      <c r="X435" s="148"/>
    </row>
    <row r="436" spans="1:24" s="2" customFormat="1" ht="24.95" hidden="1" customHeight="1">
      <c r="A436" s="29"/>
      <c r="B436" s="21"/>
      <c r="C436" s="22"/>
      <c r="D436" s="138" t="s">
        <v>623</v>
      </c>
      <c r="E436" s="23"/>
      <c r="F436" s="41" t="e">
        <f t="shared" si="75"/>
        <v>#DIV/0!</v>
      </c>
      <c r="G436" s="37"/>
      <c r="H436" s="98"/>
      <c r="I436" s="23">
        <v>1000</v>
      </c>
      <c r="J436" s="23"/>
      <c r="K436" s="23"/>
      <c r="L436" s="23"/>
      <c r="M436" s="23"/>
      <c r="N436" s="23"/>
      <c r="O436" s="188"/>
      <c r="P436" s="23"/>
      <c r="Q436" s="188"/>
      <c r="R436" s="23"/>
      <c r="S436" s="23"/>
      <c r="T436" s="23"/>
      <c r="U436" s="169"/>
      <c r="V436" s="169"/>
      <c r="W436" s="55"/>
      <c r="X436" s="148"/>
    </row>
    <row r="437" spans="1:24" s="2" customFormat="1" ht="24.95" hidden="1" customHeight="1">
      <c r="A437" s="29"/>
      <c r="B437" s="21"/>
      <c r="C437" s="22"/>
      <c r="D437" s="138" t="s">
        <v>624</v>
      </c>
      <c r="E437" s="23"/>
      <c r="F437" s="41" t="e">
        <f t="shared" si="75"/>
        <v>#DIV/0!</v>
      </c>
      <c r="G437" s="37"/>
      <c r="H437" s="98"/>
      <c r="I437" s="23">
        <v>1000</v>
      </c>
      <c r="J437" s="23"/>
      <c r="K437" s="23"/>
      <c r="L437" s="23"/>
      <c r="M437" s="23"/>
      <c r="N437" s="23"/>
      <c r="O437" s="188"/>
      <c r="P437" s="23"/>
      <c r="Q437" s="188"/>
      <c r="R437" s="23"/>
      <c r="S437" s="23"/>
      <c r="T437" s="23"/>
      <c r="U437" s="169"/>
      <c r="V437" s="169"/>
      <c r="W437" s="55"/>
      <c r="X437" s="148"/>
    </row>
    <row r="438" spans="1:24" s="2" customFormat="1" ht="24.95" hidden="1" customHeight="1">
      <c r="A438" s="29"/>
      <c r="B438" s="21"/>
      <c r="C438" s="22"/>
      <c r="D438" s="138" t="s">
        <v>625</v>
      </c>
      <c r="E438" s="23"/>
      <c r="F438" s="41" t="e">
        <f t="shared" si="75"/>
        <v>#DIV/0!</v>
      </c>
      <c r="G438" s="37"/>
      <c r="H438" s="98"/>
      <c r="I438" s="23">
        <v>1000</v>
      </c>
      <c r="J438" s="23"/>
      <c r="K438" s="23"/>
      <c r="L438" s="23"/>
      <c r="M438" s="23"/>
      <c r="N438" s="23"/>
      <c r="O438" s="188"/>
      <c r="P438" s="23"/>
      <c r="Q438" s="188"/>
      <c r="R438" s="23"/>
      <c r="S438" s="23"/>
      <c r="T438" s="23"/>
      <c r="U438" s="169"/>
      <c r="V438" s="169"/>
      <c r="W438" s="55"/>
      <c r="X438" s="148"/>
    </row>
    <row r="439" spans="1:24" s="2" customFormat="1" ht="24.95" hidden="1" customHeight="1">
      <c r="A439" s="29"/>
      <c r="B439" s="21"/>
      <c r="C439" s="22"/>
      <c r="D439" s="138" t="s">
        <v>626</v>
      </c>
      <c r="E439" s="23"/>
      <c r="F439" s="41" t="e">
        <f t="shared" si="75"/>
        <v>#DIV/0!</v>
      </c>
      <c r="G439" s="37"/>
      <c r="H439" s="98"/>
      <c r="I439" s="23">
        <v>500</v>
      </c>
      <c r="J439" s="23"/>
      <c r="K439" s="23"/>
      <c r="L439" s="23"/>
      <c r="M439" s="23"/>
      <c r="N439" s="23"/>
      <c r="O439" s="188"/>
      <c r="P439" s="23"/>
      <c r="Q439" s="188"/>
      <c r="R439" s="23"/>
      <c r="S439" s="23"/>
      <c r="T439" s="23"/>
      <c r="U439" s="169"/>
      <c r="V439" s="169"/>
      <c r="W439" s="55"/>
      <c r="X439" s="148"/>
    </row>
    <row r="440" spans="1:24" s="2" customFormat="1" ht="24.95" hidden="1" customHeight="1">
      <c r="A440" s="29"/>
      <c r="B440" s="21"/>
      <c r="C440" s="22"/>
      <c r="D440" s="138" t="s">
        <v>627</v>
      </c>
      <c r="E440" s="23"/>
      <c r="F440" s="41" t="e">
        <f t="shared" si="75"/>
        <v>#DIV/0!</v>
      </c>
      <c r="G440" s="37"/>
      <c r="H440" s="98"/>
      <c r="I440" s="23">
        <v>500</v>
      </c>
      <c r="J440" s="23"/>
      <c r="K440" s="23"/>
      <c r="L440" s="23"/>
      <c r="M440" s="23"/>
      <c r="N440" s="23"/>
      <c r="O440" s="188"/>
      <c r="P440" s="23"/>
      <c r="Q440" s="188"/>
      <c r="R440" s="23"/>
      <c r="S440" s="23"/>
      <c r="T440" s="23"/>
      <c r="U440" s="169"/>
      <c r="V440" s="169"/>
      <c r="W440" s="55"/>
      <c r="X440" s="148"/>
    </row>
    <row r="441" spans="1:24" s="2" customFormat="1" ht="24.95" hidden="1" customHeight="1">
      <c r="A441" s="29"/>
      <c r="B441" s="21"/>
      <c r="C441" s="22"/>
      <c r="D441" s="138" t="s">
        <v>628</v>
      </c>
      <c r="E441" s="23"/>
      <c r="F441" s="41" t="e">
        <f t="shared" si="75"/>
        <v>#DIV/0!</v>
      </c>
      <c r="G441" s="37"/>
      <c r="H441" s="98"/>
      <c r="I441" s="23">
        <v>1000</v>
      </c>
      <c r="J441" s="23"/>
      <c r="K441" s="23"/>
      <c r="L441" s="23"/>
      <c r="M441" s="23"/>
      <c r="N441" s="23"/>
      <c r="O441" s="188"/>
      <c r="P441" s="23"/>
      <c r="Q441" s="188"/>
      <c r="R441" s="23"/>
      <c r="S441" s="23"/>
      <c r="T441" s="23"/>
      <c r="U441" s="169"/>
      <c r="V441" s="169"/>
      <c r="W441" s="55"/>
      <c r="X441" s="148"/>
    </row>
    <row r="442" spans="1:24" s="2" customFormat="1" ht="24.95" hidden="1" customHeight="1">
      <c r="A442" s="29"/>
      <c r="B442" s="21"/>
      <c r="C442" s="22"/>
      <c r="D442" s="138" t="s">
        <v>629</v>
      </c>
      <c r="E442" s="23"/>
      <c r="F442" s="41" t="e">
        <f t="shared" si="75"/>
        <v>#DIV/0!</v>
      </c>
      <c r="G442" s="37"/>
      <c r="H442" s="98"/>
      <c r="I442" s="23">
        <v>1000</v>
      </c>
      <c r="J442" s="23"/>
      <c r="K442" s="23"/>
      <c r="L442" s="23"/>
      <c r="M442" s="23"/>
      <c r="N442" s="23"/>
      <c r="O442" s="188"/>
      <c r="P442" s="23"/>
      <c r="Q442" s="188"/>
      <c r="R442" s="23"/>
      <c r="S442" s="23"/>
      <c r="T442" s="23"/>
      <c r="U442" s="169"/>
      <c r="V442" s="169"/>
      <c r="W442" s="55"/>
      <c r="X442" s="148"/>
    </row>
    <row r="443" spans="1:24" s="2" customFormat="1" ht="24.95" hidden="1" customHeight="1">
      <c r="A443" s="29"/>
      <c r="B443" s="21"/>
      <c r="C443" s="22"/>
      <c r="D443" s="138" t="s">
        <v>630</v>
      </c>
      <c r="E443" s="23"/>
      <c r="F443" s="41" t="e">
        <f t="shared" si="75"/>
        <v>#DIV/0!</v>
      </c>
      <c r="G443" s="37"/>
      <c r="H443" s="98"/>
      <c r="I443" s="23">
        <v>1000</v>
      </c>
      <c r="J443" s="23"/>
      <c r="K443" s="23"/>
      <c r="L443" s="23"/>
      <c r="M443" s="23"/>
      <c r="N443" s="23"/>
      <c r="O443" s="188"/>
      <c r="P443" s="23"/>
      <c r="Q443" s="188"/>
      <c r="R443" s="23"/>
      <c r="S443" s="23"/>
      <c r="T443" s="23"/>
      <c r="U443" s="169"/>
      <c r="V443" s="169"/>
      <c r="W443" s="55"/>
      <c r="X443" s="148"/>
    </row>
    <row r="444" spans="1:24" s="2" customFormat="1" ht="24.95" hidden="1" customHeight="1">
      <c r="A444" s="29"/>
      <c r="B444" s="21"/>
      <c r="C444" s="22"/>
      <c r="D444" s="138" t="s">
        <v>631</v>
      </c>
      <c r="E444" s="23"/>
      <c r="F444" s="41" t="e">
        <f t="shared" si="75"/>
        <v>#DIV/0!</v>
      </c>
      <c r="G444" s="37"/>
      <c r="H444" s="98"/>
      <c r="I444" s="23">
        <v>1000</v>
      </c>
      <c r="J444" s="23"/>
      <c r="K444" s="23"/>
      <c r="L444" s="23"/>
      <c r="M444" s="23"/>
      <c r="N444" s="23"/>
      <c r="O444" s="188"/>
      <c r="P444" s="23"/>
      <c r="Q444" s="188"/>
      <c r="R444" s="23"/>
      <c r="S444" s="23"/>
      <c r="T444" s="23"/>
      <c r="U444" s="169"/>
      <c r="V444" s="169"/>
      <c r="W444" s="55"/>
      <c r="X444" s="148"/>
    </row>
    <row r="445" spans="1:24" s="2" customFormat="1" ht="24.95" hidden="1" customHeight="1">
      <c r="A445" s="29"/>
      <c r="B445" s="21"/>
      <c r="C445" s="22"/>
      <c r="D445" s="138" t="s">
        <v>632</v>
      </c>
      <c r="E445" s="23"/>
      <c r="F445" s="41" t="e">
        <f t="shared" si="75"/>
        <v>#DIV/0!</v>
      </c>
      <c r="G445" s="37"/>
      <c r="H445" s="98"/>
      <c r="I445" s="23">
        <v>1000</v>
      </c>
      <c r="J445" s="23"/>
      <c r="K445" s="23"/>
      <c r="L445" s="23"/>
      <c r="M445" s="23"/>
      <c r="N445" s="23"/>
      <c r="O445" s="188"/>
      <c r="P445" s="23"/>
      <c r="Q445" s="188"/>
      <c r="R445" s="23"/>
      <c r="S445" s="23"/>
      <c r="T445" s="23"/>
      <c r="U445" s="169"/>
      <c r="V445" s="169"/>
      <c r="W445" s="55"/>
      <c r="X445" s="148"/>
    </row>
    <row r="446" spans="1:24" s="2" customFormat="1" ht="24.95" hidden="1" customHeight="1">
      <c r="A446" s="29"/>
      <c r="B446" s="21"/>
      <c r="C446" s="22"/>
      <c r="D446" s="138" t="s">
        <v>633</v>
      </c>
      <c r="E446" s="23"/>
      <c r="F446" s="41" t="e">
        <f t="shared" si="75"/>
        <v>#DIV/0!</v>
      </c>
      <c r="G446" s="37"/>
      <c r="H446" s="98"/>
      <c r="I446" s="23">
        <v>1100</v>
      </c>
      <c r="J446" s="23"/>
      <c r="K446" s="23"/>
      <c r="L446" s="23"/>
      <c r="M446" s="23"/>
      <c r="N446" s="23"/>
      <c r="O446" s="188"/>
      <c r="P446" s="23"/>
      <c r="Q446" s="188"/>
      <c r="R446" s="23"/>
      <c r="S446" s="23"/>
      <c r="T446" s="23"/>
      <c r="U446" s="169"/>
      <c r="V446" s="169"/>
      <c r="W446" s="55"/>
      <c r="X446" s="148"/>
    </row>
    <row r="447" spans="1:24" s="2" customFormat="1" ht="24.95" hidden="1" customHeight="1">
      <c r="A447" s="29"/>
      <c r="B447" s="21"/>
      <c r="C447" s="22"/>
      <c r="D447" s="138" t="s">
        <v>634</v>
      </c>
      <c r="E447" s="23"/>
      <c r="F447" s="41" t="e">
        <f t="shared" si="75"/>
        <v>#DIV/0!</v>
      </c>
      <c r="G447" s="37"/>
      <c r="H447" s="98"/>
      <c r="I447" s="23">
        <v>1100</v>
      </c>
      <c r="J447" s="23"/>
      <c r="K447" s="23"/>
      <c r="L447" s="23"/>
      <c r="M447" s="23"/>
      <c r="N447" s="23"/>
      <c r="O447" s="188"/>
      <c r="P447" s="23"/>
      <c r="Q447" s="188"/>
      <c r="R447" s="23"/>
      <c r="S447" s="23"/>
      <c r="T447" s="23"/>
      <c r="U447" s="169"/>
      <c r="V447" s="169"/>
      <c r="W447" s="55"/>
      <c r="X447" s="148"/>
    </row>
    <row r="448" spans="1:24" s="2" customFormat="1" ht="24.95" hidden="1" customHeight="1">
      <c r="A448" s="29"/>
      <c r="B448" s="21"/>
      <c r="C448" s="22"/>
      <c r="D448" s="138" t="s">
        <v>635</v>
      </c>
      <c r="E448" s="23"/>
      <c r="F448" s="41" t="e">
        <f t="shared" si="75"/>
        <v>#DIV/0!</v>
      </c>
      <c r="G448" s="37"/>
      <c r="H448" s="98"/>
      <c r="I448" s="23">
        <v>1100</v>
      </c>
      <c r="J448" s="23"/>
      <c r="K448" s="23"/>
      <c r="L448" s="23"/>
      <c r="M448" s="23"/>
      <c r="N448" s="23"/>
      <c r="O448" s="188"/>
      <c r="P448" s="23"/>
      <c r="Q448" s="188"/>
      <c r="R448" s="23"/>
      <c r="S448" s="23"/>
      <c r="T448" s="23"/>
      <c r="U448" s="169"/>
      <c r="V448" s="169"/>
      <c r="W448" s="55"/>
      <c r="X448" s="148"/>
    </row>
    <row r="449" spans="1:24" s="2" customFormat="1" ht="24.95" customHeight="1">
      <c r="A449" s="29" t="s">
        <v>85</v>
      </c>
      <c r="B449" s="21" t="s">
        <v>0</v>
      </c>
      <c r="C449" s="22" t="s">
        <v>636</v>
      </c>
      <c r="D449" s="138" t="s">
        <v>637</v>
      </c>
      <c r="E449" s="23">
        <v>150000</v>
      </c>
      <c r="F449" s="41">
        <f t="shared" si="75"/>
        <v>1.0767061333333334</v>
      </c>
      <c r="G449" s="37">
        <v>1540</v>
      </c>
      <c r="H449" s="98">
        <f>I449+J449</f>
        <v>161505.92000000001</v>
      </c>
      <c r="I449" s="23">
        <f>I450</f>
        <v>11500</v>
      </c>
      <c r="J449" s="23">
        <f>K449+L449</f>
        <v>150005.92000000001</v>
      </c>
      <c r="K449" s="23">
        <v>0</v>
      </c>
      <c r="L449" s="23">
        <v>150005.92000000001</v>
      </c>
      <c r="M449" s="23">
        <f>N449+P449</f>
        <v>5836.8600000000006</v>
      </c>
      <c r="N449" s="23">
        <f>4636.46+18.02+15.02</f>
        <v>4669.5000000000009</v>
      </c>
      <c r="O449" s="188">
        <v>4670</v>
      </c>
      <c r="P449" s="23">
        <f>1159.11+4.5+3.75</f>
        <v>1167.3599999999999</v>
      </c>
      <c r="Q449" s="188">
        <v>1170</v>
      </c>
      <c r="R449" s="23">
        <v>0</v>
      </c>
      <c r="S449" s="23">
        <v>158500</v>
      </c>
      <c r="T449" s="23">
        <f>J449/5000*100</f>
        <v>3000.1184000000003</v>
      </c>
      <c r="U449" s="169">
        <v>3000</v>
      </c>
      <c r="V449" s="169">
        <f t="shared" ref="V449" si="79">U449*2</f>
        <v>6000</v>
      </c>
      <c r="W449" s="55">
        <f>H449-R449-S449-U449</f>
        <v>5.9200000000128057</v>
      </c>
      <c r="X449" s="148"/>
    </row>
    <row r="450" spans="1:24" s="2" customFormat="1" ht="24.95" hidden="1" customHeight="1">
      <c r="A450" s="29"/>
      <c r="B450" s="21"/>
      <c r="C450" s="22"/>
      <c r="D450" s="138" t="s">
        <v>638</v>
      </c>
      <c r="E450" s="23"/>
      <c r="F450" s="41"/>
      <c r="G450" s="37"/>
      <c r="H450" s="98"/>
      <c r="I450" s="23">
        <v>11500</v>
      </c>
      <c r="J450" s="23"/>
      <c r="K450" s="23"/>
      <c r="L450" s="23"/>
      <c r="M450" s="23"/>
      <c r="N450" s="23"/>
      <c r="O450" s="188"/>
      <c r="P450" s="23"/>
      <c r="Q450" s="188"/>
      <c r="R450" s="23"/>
      <c r="S450" s="23"/>
      <c r="T450" s="23"/>
      <c r="U450" s="169"/>
      <c r="V450" s="169"/>
      <c r="W450" s="55"/>
      <c r="X450" s="148"/>
    </row>
    <row r="451" spans="1:24" s="2" customFormat="1" ht="24.95" customHeight="1">
      <c r="A451" s="29" t="s">
        <v>86</v>
      </c>
      <c r="B451" s="21" t="s">
        <v>0</v>
      </c>
      <c r="C451" s="22" t="s">
        <v>639</v>
      </c>
      <c r="D451" s="138" t="s">
        <v>640</v>
      </c>
      <c r="E451" s="23">
        <v>120000</v>
      </c>
      <c r="F451" s="41">
        <f t="shared" si="75"/>
        <v>1.0068766666666666</v>
      </c>
      <c r="G451" s="37">
        <v>57</v>
      </c>
      <c r="H451" s="98">
        <f>I451+J451</f>
        <v>120825.2</v>
      </c>
      <c r="I451" s="23">
        <f>SUM(I452:I460)</f>
        <v>120000</v>
      </c>
      <c r="J451" s="23">
        <f>K451+L451</f>
        <v>825.2</v>
      </c>
      <c r="K451" s="23">
        <v>0</v>
      </c>
      <c r="L451" s="23">
        <v>825.2</v>
      </c>
      <c r="M451" s="23">
        <f>N451+P451</f>
        <v>74.650000000000006</v>
      </c>
      <c r="N451" s="23">
        <v>59.72</v>
      </c>
      <c r="O451" s="188">
        <v>100</v>
      </c>
      <c r="P451" s="23">
        <v>14.93</v>
      </c>
      <c r="Q451" s="188">
        <v>15</v>
      </c>
      <c r="R451" s="23">
        <v>0</v>
      </c>
      <c r="S451" s="23">
        <v>120800</v>
      </c>
      <c r="T451" s="23">
        <f>J451/5000*100</f>
        <v>16.504000000000001</v>
      </c>
      <c r="U451" s="169">
        <v>0</v>
      </c>
      <c r="V451" s="169">
        <f t="shared" ref="V451" si="80">U451*2</f>
        <v>0</v>
      </c>
      <c r="W451" s="55">
        <f>H451-R451-S451-U451</f>
        <v>25.19999999999709</v>
      </c>
      <c r="X451" s="148"/>
    </row>
    <row r="452" spans="1:24" s="2" customFormat="1" ht="24.95" hidden="1" customHeight="1">
      <c r="A452" s="29"/>
      <c r="B452" s="21"/>
      <c r="C452" s="22"/>
      <c r="D452" s="138" t="s">
        <v>641</v>
      </c>
      <c r="E452" s="23"/>
      <c r="F452" s="41"/>
      <c r="G452" s="37"/>
      <c r="H452" s="98"/>
      <c r="I452" s="23">
        <v>20000</v>
      </c>
      <c r="J452" s="23"/>
      <c r="K452" s="23"/>
      <c r="L452" s="23"/>
      <c r="M452" s="23"/>
      <c r="N452" s="23"/>
      <c r="O452" s="188"/>
      <c r="P452" s="23"/>
      <c r="Q452" s="188"/>
      <c r="R452" s="23"/>
      <c r="S452" s="23"/>
      <c r="T452" s="23"/>
      <c r="U452" s="169"/>
      <c r="V452" s="169"/>
      <c r="W452" s="55"/>
      <c r="X452" s="148"/>
    </row>
    <row r="453" spans="1:24" s="2" customFormat="1" ht="24.95" hidden="1" customHeight="1">
      <c r="A453" s="29"/>
      <c r="B453" s="21"/>
      <c r="C453" s="22"/>
      <c r="D453" s="138" t="s">
        <v>642</v>
      </c>
      <c r="E453" s="23"/>
      <c r="F453" s="41"/>
      <c r="G453" s="37"/>
      <c r="H453" s="98"/>
      <c r="I453" s="23">
        <v>20000</v>
      </c>
      <c r="J453" s="23"/>
      <c r="K453" s="23"/>
      <c r="L453" s="23"/>
      <c r="M453" s="23"/>
      <c r="N453" s="23"/>
      <c r="O453" s="188"/>
      <c r="P453" s="23"/>
      <c r="Q453" s="188"/>
      <c r="R453" s="23"/>
      <c r="S453" s="23"/>
      <c r="T453" s="23"/>
      <c r="U453" s="169"/>
      <c r="V453" s="169"/>
      <c r="W453" s="55"/>
      <c r="X453" s="148"/>
    </row>
    <row r="454" spans="1:24" s="2" customFormat="1" ht="24.95" hidden="1" customHeight="1">
      <c r="A454" s="29"/>
      <c r="B454" s="21"/>
      <c r="C454" s="22"/>
      <c r="D454" s="138" t="s">
        <v>642</v>
      </c>
      <c r="E454" s="23"/>
      <c r="F454" s="41"/>
      <c r="G454" s="37"/>
      <c r="H454" s="98"/>
      <c r="I454" s="23">
        <v>20000</v>
      </c>
      <c r="J454" s="23"/>
      <c r="K454" s="23"/>
      <c r="L454" s="23"/>
      <c r="M454" s="23"/>
      <c r="N454" s="23"/>
      <c r="O454" s="188"/>
      <c r="P454" s="23"/>
      <c r="Q454" s="188"/>
      <c r="R454" s="23"/>
      <c r="S454" s="23"/>
      <c r="T454" s="23"/>
      <c r="U454" s="169"/>
      <c r="V454" s="169"/>
      <c r="W454" s="55"/>
      <c r="X454" s="148"/>
    </row>
    <row r="455" spans="1:24" s="2" customFormat="1" ht="24.95" hidden="1" customHeight="1">
      <c r="A455" s="29"/>
      <c r="B455" s="21"/>
      <c r="C455" s="22"/>
      <c r="D455" s="138" t="s">
        <v>643</v>
      </c>
      <c r="E455" s="23"/>
      <c r="F455" s="41"/>
      <c r="G455" s="37"/>
      <c r="H455" s="98"/>
      <c r="I455" s="23">
        <v>20000</v>
      </c>
      <c r="J455" s="23"/>
      <c r="K455" s="23"/>
      <c r="L455" s="23"/>
      <c r="M455" s="23"/>
      <c r="N455" s="23"/>
      <c r="O455" s="188"/>
      <c r="P455" s="23"/>
      <c r="Q455" s="188"/>
      <c r="R455" s="23"/>
      <c r="S455" s="23"/>
      <c r="T455" s="23"/>
      <c r="U455" s="169"/>
      <c r="V455" s="169"/>
      <c r="W455" s="55"/>
      <c r="X455" s="148"/>
    </row>
    <row r="456" spans="1:24" s="2" customFormat="1" ht="24.95" hidden="1" customHeight="1">
      <c r="A456" s="29"/>
      <c r="B456" s="21"/>
      <c r="C456" s="22"/>
      <c r="D456" s="138" t="s">
        <v>644</v>
      </c>
      <c r="E456" s="23"/>
      <c r="F456" s="41"/>
      <c r="G456" s="37"/>
      <c r="H456" s="98"/>
      <c r="I456" s="23">
        <v>5000</v>
      </c>
      <c r="J456" s="23"/>
      <c r="K456" s="23"/>
      <c r="L456" s="23"/>
      <c r="M456" s="23"/>
      <c r="N456" s="23"/>
      <c r="O456" s="188"/>
      <c r="P456" s="23"/>
      <c r="Q456" s="188"/>
      <c r="R456" s="23"/>
      <c r="S456" s="23"/>
      <c r="T456" s="23"/>
      <c r="U456" s="169"/>
      <c r="V456" s="169"/>
      <c r="W456" s="55"/>
      <c r="X456" s="148"/>
    </row>
    <row r="457" spans="1:24" s="2" customFormat="1" ht="24.95" hidden="1" customHeight="1">
      <c r="A457" s="29"/>
      <c r="B457" s="21"/>
      <c r="C457" s="22"/>
      <c r="D457" s="138" t="s">
        <v>645</v>
      </c>
      <c r="E457" s="23"/>
      <c r="F457" s="41"/>
      <c r="G457" s="37"/>
      <c r="H457" s="98"/>
      <c r="I457" s="23">
        <v>5000</v>
      </c>
      <c r="J457" s="23"/>
      <c r="K457" s="23"/>
      <c r="L457" s="23"/>
      <c r="M457" s="23"/>
      <c r="N457" s="23"/>
      <c r="O457" s="188"/>
      <c r="P457" s="23"/>
      <c r="Q457" s="188"/>
      <c r="R457" s="23"/>
      <c r="S457" s="23"/>
      <c r="T457" s="23"/>
      <c r="U457" s="169"/>
      <c r="V457" s="169"/>
      <c r="W457" s="55"/>
      <c r="X457" s="148"/>
    </row>
    <row r="458" spans="1:24" s="2" customFormat="1" ht="24.95" hidden="1" customHeight="1">
      <c r="A458" s="29"/>
      <c r="B458" s="21"/>
      <c r="C458" s="22"/>
      <c r="D458" s="138" t="s">
        <v>646</v>
      </c>
      <c r="E458" s="23"/>
      <c r="F458" s="41"/>
      <c r="G458" s="37"/>
      <c r="H458" s="98"/>
      <c r="I458" s="23">
        <v>10000</v>
      </c>
      <c r="J458" s="23"/>
      <c r="K458" s="23"/>
      <c r="L458" s="23"/>
      <c r="M458" s="23"/>
      <c r="N458" s="23"/>
      <c r="O458" s="188"/>
      <c r="P458" s="23"/>
      <c r="Q458" s="188"/>
      <c r="R458" s="23"/>
      <c r="S458" s="23"/>
      <c r="T458" s="23"/>
      <c r="U458" s="169"/>
      <c r="V458" s="169"/>
      <c r="W458" s="55"/>
      <c r="X458" s="148"/>
    </row>
    <row r="459" spans="1:24" s="2" customFormat="1" ht="24.95" hidden="1" customHeight="1">
      <c r="A459" s="29"/>
      <c r="B459" s="21"/>
      <c r="C459" s="22"/>
      <c r="D459" s="138" t="s">
        <v>647</v>
      </c>
      <c r="E459" s="23"/>
      <c r="F459" s="41"/>
      <c r="G459" s="37"/>
      <c r="H459" s="98"/>
      <c r="I459" s="23">
        <v>10000</v>
      </c>
      <c r="J459" s="23"/>
      <c r="K459" s="23"/>
      <c r="L459" s="23"/>
      <c r="M459" s="23"/>
      <c r="N459" s="23"/>
      <c r="O459" s="188"/>
      <c r="P459" s="23"/>
      <c r="Q459" s="188"/>
      <c r="R459" s="23"/>
      <c r="S459" s="23"/>
      <c r="T459" s="23"/>
      <c r="U459" s="169"/>
      <c r="V459" s="169"/>
      <c r="W459" s="55"/>
      <c r="X459" s="148"/>
    </row>
    <row r="460" spans="1:24" s="2" customFormat="1" ht="24.95" hidden="1" customHeight="1">
      <c r="A460" s="29"/>
      <c r="B460" s="21"/>
      <c r="C460" s="22"/>
      <c r="D460" s="138" t="s">
        <v>648</v>
      </c>
      <c r="E460" s="23"/>
      <c r="F460" s="41"/>
      <c r="G460" s="37"/>
      <c r="H460" s="98"/>
      <c r="I460" s="23">
        <v>10000</v>
      </c>
      <c r="J460" s="23"/>
      <c r="K460" s="23"/>
      <c r="L460" s="23"/>
      <c r="M460" s="23"/>
      <c r="N460" s="23"/>
      <c r="O460" s="188"/>
      <c r="P460" s="23"/>
      <c r="Q460" s="188"/>
      <c r="R460" s="23"/>
      <c r="S460" s="23"/>
      <c r="T460" s="23"/>
      <c r="U460" s="169"/>
      <c r="V460" s="169"/>
      <c r="W460" s="55"/>
      <c r="X460" s="148"/>
    </row>
    <row r="461" spans="1:24" s="2" customFormat="1" ht="24.95" customHeight="1">
      <c r="A461" s="29" t="s">
        <v>87</v>
      </c>
      <c r="B461" s="21" t="s">
        <v>0</v>
      </c>
      <c r="C461" s="22" t="s">
        <v>649</v>
      </c>
      <c r="D461" s="138" t="s">
        <v>88</v>
      </c>
      <c r="E461" s="23">
        <v>120000</v>
      </c>
      <c r="F461" s="41">
        <f t="shared" si="75"/>
        <v>1.171403</v>
      </c>
      <c r="G461" s="37">
        <v>235</v>
      </c>
      <c r="H461" s="98">
        <f>I461+J461</f>
        <v>140568.35999999999</v>
      </c>
      <c r="I461" s="23">
        <f>SUM(I462:I468)</f>
        <v>140000</v>
      </c>
      <c r="J461" s="23">
        <f>K461+L461</f>
        <v>568.36</v>
      </c>
      <c r="K461" s="23">
        <v>0</v>
      </c>
      <c r="L461" s="23">
        <v>568.36</v>
      </c>
      <c r="M461" s="23">
        <f>P461+N461</f>
        <v>176.87</v>
      </c>
      <c r="N461" s="23">
        <v>141.5</v>
      </c>
      <c r="O461" s="188">
        <v>140</v>
      </c>
      <c r="P461" s="23">
        <v>35.369999999999997</v>
      </c>
      <c r="Q461" s="188">
        <v>35</v>
      </c>
      <c r="R461" s="23">
        <v>0</v>
      </c>
      <c r="S461" s="23">
        <v>140600</v>
      </c>
      <c r="T461" s="23">
        <f>J461/5000*100</f>
        <v>11.3672</v>
      </c>
      <c r="U461" s="169">
        <v>0</v>
      </c>
      <c r="V461" s="169">
        <f t="shared" ref="V461" si="81">U461*2</f>
        <v>0</v>
      </c>
      <c r="W461" s="55">
        <f>H461-R461-S461-U461</f>
        <v>-31.64000000001397</v>
      </c>
      <c r="X461" s="148"/>
    </row>
    <row r="462" spans="1:24" s="2" customFormat="1" ht="24.95" hidden="1" customHeight="1">
      <c r="A462" s="29"/>
      <c r="B462" s="21"/>
      <c r="C462" s="22"/>
      <c r="D462" s="138" t="s">
        <v>650</v>
      </c>
      <c r="E462" s="23"/>
      <c r="F462" s="41"/>
      <c r="G462" s="37"/>
      <c r="H462" s="98"/>
      <c r="I462" s="23">
        <v>20000</v>
      </c>
      <c r="J462" s="23"/>
      <c r="K462" s="23"/>
      <c r="L462" s="23"/>
      <c r="M462" s="23"/>
      <c r="N462" s="23"/>
      <c r="O462" s="188"/>
      <c r="P462" s="23"/>
      <c r="Q462" s="188"/>
      <c r="R462" s="23"/>
      <c r="S462" s="23"/>
      <c r="T462" s="23"/>
      <c r="U462" s="169"/>
      <c r="V462" s="169"/>
      <c r="W462" s="55"/>
      <c r="X462" s="148"/>
    </row>
    <row r="463" spans="1:24" s="2" customFormat="1" ht="24.95" hidden="1" customHeight="1">
      <c r="A463" s="29"/>
      <c r="B463" s="21"/>
      <c r="C463" s="22"/>
      <c r="D463" s="138" t="s">
        <v>651</v>
      </c>
      <c r="E463" s="23"/>
      <c r="F463" s="41"/>
      <c r="G463" s="37"/>
      <c r="H463" s="98"/>
      <c r="I463" s="23">
        <v>20000</v>
      </c>
      <c r="J463" s="23"/>
      <c r="K463" s="23"/>
      <c r="L463" s="23"/>
      <c r="M463" s="23"/>
      <c r="N463" s="23"/>
      <c r="O463" s="188"/>
      <c r="P463" s="23"/>
      <c r="Q463" s="188"/>
      <c r="R463" s="23"/>
      <c r="S463" s="23"/>
      <c r="T463" s="23"/>
      <c r="U463" s="169"/>
      <c r="V463" s="169"/>
      <c r="W463" s="55"/>
      <c r="X463" s="148"/>
    </row>
    <row r="464" spans="1:24" s="2" customFormat="1" ht="24.95" hidden="1" customHeight="1">
      <c r="A464" s="29"/>
      <c r="B464" s="21"/>
      <c r="C464" s="22"/>
      <c r="D464" s="138" t="s">
        <v>652</v>
      </c>
      <c r="E464" s="23"/>
      <c r="F464" s="41"/>
      <c r="G464" s="37"/>
      <c r="H464" s="98"/>
      <c r="I464" s="23">
        <v>20000</v>
      </c>
      <c r="J464" s="23"/>
      <c r="K464" s="23"/>
      <c r="L464" s="23"/>
      <c r="M464" s="23"/>
      <c r="N464" s="23"/>
      <c r="O464" s="188"/>
      <c r="P464" s="23"/>
      <c r="Q464" s="188"/>
      <c r="R464" s="23"/>
      <c r="S464" s="23"/>
      <c r="T464" s="23"/>
      <c r="U464" s="169"/>
      <c r="V464" s="169"/>
      <c r="W464" s="55"/>
      <c r="X464" s="148"/>
    </row>
    <row r="465" spans="1:24" s="2" customFormat="1" ht="24.95" hidden="1" customHeight="1">
      <c r="A465" s="29"/>
      <c r="B465" s="21"/>
      <c r="C465" s="22"/>
      <c r="D465" s="138" t="s">
        <v>653</v>
      </c>
      <c r="E465" s="23"/>
      <c r="F465" s="41"/>
      <c r="G465" s="37"/>
      <c r="H465" s="98"/>
      <c r="I465" s="23">
        <v>20000</v>
      </c>
      <c r="J465" s="23"/>
      <c r="K465" s="23"/>
      <c r="L465" s="23"/>
      <c r="M465" s="23"/>
      <c r="N465" s="23"/>
      <c r="O465" s="188"/>
      <c r="P465" s="23"/>
      <c r="Q465" s="188"/>
      <c r="R465" s="23"/>
      <c r="S465" s="23"/>
      <c r="T465" s="23"/>
      <c r="U465" s="169"/>
      <c r="V465" s="169"/>
      <c r="W465" s="55"/>
      <c r="X465" s="148"/>
    </row>
    <row r="466" spans="1:24" s="2" customFormat="1" ht="24.95" hidden="1" customHeight="1">
      <c r="A466" s="29"/>
      <c r="B466" s="21"/>
      <c r="C466" s="22"/>
      <c r="D466" s="138" t="s">
        <v>654</v>
      </c>
      <c r="E466" s="23"/>
      <c r="F466" s="41"/>
      <c r="G466" s="37"/>
      <c r="H466" s="98"/>
      <c r="I466" s="23">
        <v>20000</v>
      </c>
      <c r="J466" s="23"/>
      <c r="K466" s="23"/>
      <c r="L466" s="23"/>
      <c r="M466" s="23"/>
      <c r="N466" s="23"/>
      <c r="O466" s="188"/>
      <c r="P466" s="23"/>
      <c r="Q466" s="188"/>
      <c r="R466" s="23"/>
      <c r="S466" s="23"/>
      <c r="T466" s="23"/>
      <c r="U466" s="169"/>
      <c r="V466" s="169"/>
      <c r="W466" s="55"/>
      <c r="X466" s="148"/>
    </row>
    <row r="467" spans="1:24" s="2" customFormat="1" ht="24.95" hidden="1" customHeight="1">
      <c r="A467" s="29"/>
      <c r="B467" s="21"/>
      <c r="C467" s="22"/>
      <c r="D467" s="138" t="s">
        <v>655</v>
      </c>
      <c r="E467" s="23"/>
      <c r="F467" s="41"/>
      <c r="G467" s="37"/>
      <c r="H467" s="98"/>
      <c r="I467" s="23">
        <v>20000</v>
      </c>
      <c r="J467" s="23"/>
      <c r="K467" s="23"/>
      <c r="L467" s="23"/>
      <c r="M467" s="23"/>
      <c r="N467" s="23"/>
      <c r="O467" s="188"/>
      <c r="P467" s="23"/>
      <c r="Q467" s="188"/>
      <c r="R467" s="23"/>
      <c r="S467" s="23"/>
      <c r="T467" s="23"/>
      <c r="U467" s="169"/>
      <c r="V467" s="169"/>
      <c r="W467" s="55"/>
      <c r="X467" s="148"/>
    </row>
    <row r="468" spans="1:24" s="2" customFormat="1" ht="24.95" hidden="1" customHeight="1">
      <c r="A468" s="29"/>
      <c r="B468" s="21"/>
      <c r="C468" s="22"/>
      <c r="D468" s="138" t="s">
        <v>656</v>
      </c>
      <c r="E468" s="23"/>
      <c r="F468" s="41"/>
      <c r="G468" s="37"/>
      <c r="H468" s="98"/>
      <c r="I468" s="23">
        <v>20000</v>
      </c>
      <c r="J468" s="23"/>
      <c r="K468" s="23"/>
      <c r="L468" s="23"/>
      <c r="M468" s="23"/>
      <c r="N468" s="23"/>
      <c r="O468" s="188"/>
      <c r="P468" s="23"/>
      <c r="Q468" s="188"/>
      <c r="R468" s="23"/>
      <c r="S468" s="23"/>
      <c r="T468" s="23"/>
      <c r="U468" s="169"/>
      <c r="V468" s="169"/>
      <c r="W468" s="55"/>
      <c r="X468" s="148"/>
    </row>
    <row r="469" spans="1:24" s="2" customFormat="1" ht="24.95" customHeight="1">
      <c r="A469" s="29" t="s">
        <v>89</v>
      </c>
      <c r="B469" s="21" t="s">
        <v>0</v>
      </c>
      <c r="C469" s="23" t="s">
        <v>657</v>
      </c>
      <c r="D469" s="138" t="s">
        <v>658</v>
      </c>
      <c r="E469" s="23">
        <v>200000</v>
      </c>
      <c r="F469" s="41">
        <f t="shared" si="75"/>
        <v>1.2856811500000001</v>
      </c>
      <c r="G469" s="37">
        <v>3443</v>
      </c>
      <c r="H469" s="98">
        <f>I469+J469</f>
        <v>257136.23</v>
      </c>
      <c r="I469" s="23">
        <f>SUM(I470:I477)</f>
        <v>57000</v>
      </c>
      <c r="J469" s="23">
        <f>K469+L469</f>
        <v>200136.23</v>
      </c>
      <c r="K469" s="23">
        <v>0</v>
      </c>
      <c r="L469" s="23">
        <v>200136.23</v>
      </c>
      <c r="M469" s="23">
        <f>N469+P469</f>
        <v>11403.119999999999</v>
      </c>
      <c r="N469" s="23">
        <f>9003.18+30.72+88.6</f>
        <v>9122.5</v>
      </c>
      <c r="O469" s="188">
        <v>9120</v>
      </c>
      <c r="P469" s="23">
        <f>2250.79+7.68+22.15</f>
        <v>2280.62</v>
      </c>
      <c r="Q469" s="188">
        <v>2280</v>
      </c>
      <c r="R469" s="23">
        <v>0</v>
      </c>
      <c r="S469" s="23">
        <v>253100</v>
      </c>
      <c r="T469" s="23">
        <f>J469/5000*100</f>
        <v>4002.7246000000005</v>
      </c>
      <c r="U469" s="169">
        <v>4000</v>
      </c>
      <c r="V469" s="169">
        <f t="shared" ref="V469" si="82">U469*2</f>
        <v>8000</v>
      </c>
      <c r="W469" s="55">
        <f>H469-R469-S469-U469</f>
        <v>36.230000000010477</v>
      </c>
      <c r="X469" s="148"/>
    </row>
    <row r="470" spans="1:24" s="2" customFormat="1" ht="24.95" hidden="1" customHeight="1">
      <c r="A470" s="23"/>
      <c r="B470" s="23"/>
      <c r="C470" s="23"/>
      <c r="D470" s="138" t="s">
        <v>659</v>
      </c>
      <c r="E470" s="23"/>
      <c r="F470" s="41" t="e">
        <f t="shared" ref="F470:F478" si="83">H470/E470</f>
        <v>#DIV/0!</v>
      </c>
      <c r="G470" s="34"/>
      <c r="H470" s="98"/>
      <c r="I470" s="23">
        <v>17000</v>
      </c>
      <c r="J470" s="23"/>
      <c r="K470" s="23"/>
      <c r="L470" s="23"/>
      <c r="M470" s="23"/>
      <c r="N470" s="23"/>
      <c r="O470" s="188"/>
      <c r="P470" s="23"/>
      <c r="Q470" s="188"/>
      <c r="R470" s="23"/>
      <c r="S470" s="23"/>
      <c r="T470" s="23"/>
      <c r="U470" s="169"/>
      <c r="V470" s="169"/>
      <c r="W470" s="55"/>
      <c r="X470" s="91"/>
    </row>
    <row r="471" spans="1:24" s="2" customFormat="1" ht="24.95" hidden="1" customHeight="1">
      <c r="A471" s="23"/>
      <c r="B471" s="23"/>
      <c r="C471" s="23"/>
      <c r="D471" s="138" t="s">
        <v>660</v>
      </c>
      <c r="E471" s="23"/>
      <c r="F471" s="41" t="e">
        <f t="shared" si="83"/>
        <v>#DIV/0!</v>
      </c>
      <c r="G471" s="34"/>
      <c r="H471" s="98"/>
      <c r="I471" s="23">
        <v>10000</v>
      </c>
      <c r="J471" s="23"/>
      <c r="K471" s="23"/>
      <c r="L471" s="23"/>
      <c r="M471" s="23"/>
      <c r="N471" s="23"/>
      <c r="O471" s="188"/>
      <c r="P471" s="23"/>
      <c r="Q471" s="188"/>
      <c r="R471" s="23"/>
      <c r="S471" s="23"/>
      <c r="T471" s="23"/>
      <c r="U471" s="169"/>
      <c r="V471" s="169"/>
      <c r="W471" s="55"/>
      <c r="X471" s="91"/>
    </row>
    <row r="472" spans="1:24" s="2" customFormat="1" ht="24.95" hidden="1" customHeight="1">
      <c r="A472" s="23"/>
      <c r="B472" s="23"/>
      <c r="C472" s="23"/>
      <c r="D472" s="138" t="s">
        <v>661</v>
      </c>
      <c r="E472" s="23"/>
      <c r="F472" s="41" t="e">
        <f t="shared" si="83"/>
        <v>#DIV/0!</v>
      </c>
      <c r="G472" s="34"/>
      <c r="H472" s="98"/>
      <c r="I472" s="23">
        <v>2000</v>
      </c>
      <c r="J472" s="23"/>
      <c r="K472" s="23"/>
      <c r="L472" s="23"/>
      <c r="M472" s="23"/>
      <c r="N472" s="23"/>
      <c r="O472" s="188"/>
      <c r="P472" s="23"/>
      <c r="Q472" s="188"/>
      <c r="R472" s="23"/>
      <c r="S472" s="23"/>
      <c r="T472" s="23"/>
      <c r="U472" s="169"/>
      <c r="V472" s="169"/>
      <c r="W472" s="55"/>
      <c r="X472" s="91"/>
    </row>
    <row r="473" spans="1:24" s="2" customFormat="1" ht="24.95" hidden="1" customHeight="1">
      <c r="A473" s="23"/>
      <c r="B473" s="23"/>
      <c r="C473" s="23"/>
      <c r="D473" s="138" t="s">
        <v>662</v>
      </c>
      <c r="E473" s="23"/>
      <c r="F473" s="41" t="e">
        <f t="shared" si="83"/>
        <v>#DIV/0!</v>
      </c>
      <c r="G473" s="34"/>
      <c r="H473" s="98"/>
      <c r="I473" s="23">
        <v>20000</v>
      </c>
      <c r="J473" s="23"/>
      <c r="K473" s="23"/>
      <c r="L473" s="23"/>
      <c r="M473" s="23"/>
      <c r="N473" s="23"/>
      <c r="O473" s="188"/>
      <c r="P473" s="23"/>
      <c r="Q473" s="188"/>
      <c r="R473" s="23"/>
      <c r="S473" s="23"/>
      <c r="T473" s="23"/>
      <c r="U473" s="169"/>
      <c r="V473" s="169"/>
      <c r="W473" s="55"/>
      <c r="X473" s="91"/>
    </row>
    <row r="474" spans="1:24" s="2" customFormat="1" ht="24.95" hidden="1" customHeight="1">
      <c r="A474" s="23"/>
      <c r="B474" s="23"/>
      <c r="C474" s="23"/>
      <c r="D474" s="138" t="s">
        <v>663</v>
      </c>
      <c r="E474" s="23"/>
      <c r="F474" s="41" t="e">
        <f t="shared" si="83"/>
        <v>#DIV/0!</v>
      </c>
      <c r="G474" s="34"/>
      <c r="H474" s="98"/>
      <c r="I474" s="23">
        <v>2000</v>
      </c>
      <c r="J474" s="23"/>
      <c r="K474" s="23"/>
      <c r="L474" s="23"/>
      <c r="M474" s="23"/>
      <c r="N474" s="23"/>
      <c r="O474" s="188"/>
      <c r="P474" s="23"/>
      <c r="Q474" s="188"/>
      <c r="R474" s="23"/>
      <c r="S474" s="23"/>
      <c r="T474" s="23"/>
      <c r="U474" s="169"/>
      <c r="V474" s="169"/>
      <c r="W474" s="55"/>
      <c r="X474" s="91"/>
    </row>
    <row r="475" spans="1:24" s="2" customFormat="1" ht="24.95" hidden="1" customHeight="1">
      <c r="A475" s="23"/>
      <c r="B475" s="23"/>
      <c r="C475" s="23"/>
      <c r="D475" s="138" t="s">
        <v>664</v>
      </c>
      <c r="E475" s="23"/>
      <c r="F475" s="41" t="e">
        <f t="shared" si="83"/>
        <v>#DIV/0!</v>
      </c>
      <c r="G475" s="34"/>
      <c r="H475" s="98"/>
      <c r="I475" s="23">
        <v>2000</v>
      </c>
      <c r="J475" s="23"/>
      <c r="K475" s="23"/>
      <c r="L475" s="23"/>
      <c r="M475" s="23"/>
      <c r="N475" s="23"/>
      <c r="O475" s="188"/>
      <c r="P475" s="23"/>
      <c r="Q475" s="188"/>
      <c r="R475" s="23"/>
      <c r="S475" s="23"/>
      <c r="T475" s="23"/>
      <c r="U475" s="169"/>
      <c r="V475" s="169"/>
      <c r="W475" s="55"/>
      <c r="X475" s="91"/>
    </row>
    <row r="476" spans="1:24" s="2" customFormat="1" ht="24.95" hidden="1" customHeight="1">
      <c r="A476" s="149"/>
      <c r="B476" s="91"/>
      <c r="C476" s="23"/>
      <c r="D476" s="138" t="s">
        <v>665</v>
      </c>
      <c r="E476" s="23"/>
      <c r="F476" s="41"/>
      <c r="G476" s="34"/>
      <c r="H476" s="98"/>
      <c r="I476" s="23">
        <v>2000</v>
      </c>
      <c r="J476" s="23"/>
      <c r="K476" s="23"/>
      <c r="L476" s="23"/>
      <c r="M476" s="23"/>
      <c r="N476" s="23"/>
      <c r="O476" s="188"/>
      <c r="P476" s="23"/>
      <c r="Q476" s="188"/>
      <c r="R476" s="23"/>
      <c r="S476" s="23"/>
      <c r="T476" s="23"/>
      <c r="U476" s="91"/>
      <c r="V476" s="91"/>
      <c r="W476" s="61"/>
      <c r="X476" s="91"/>
    </row>
    <row r="477" spans="1:24" s="2" customFormat="1" ht="24.95" hidden="1" customHeight="1">
      <c r="A477" s="149"/>
      <c r="B477" s="91"/>
      <c r="C477" s="23"/>
      <c r="D477" s="138" t="s">
        <v>666</v>
      </c>
      <c r="E477" s="23"/>
      <c r="F477" s="41"/>
      <c r="G477" s="34"/>
      <c r="H477" s="98"/>
      <c r="I477" s="23">
        <v>2000</v>
      </c>
      <c r="J477" s="23"/>
      <c r="K477" s="23"/>
      <c r="L477" s="23"/>
      <c r="M477" s="23"/>
      <c r="N477" s="23"/>
      <c r="O477" s="188"/>
      <c r="P477" s="23"/>
      <c r="Q477" s="188"/>
      <c r="R477" s="23"/>
      <c r="S477" s="23"/>
      <c r="T477" s="23"/>
      <c r="U477" s="91"/>
      <c r="V477" s="91"/>
      <c r="W477" s="61"/>
      <c r="X477" s="91"/>
    </row>
    <row r="478" spans="1:24" s="2" customFormat="1" ht="24.95" customHeight="1">
      <c r="A478" s="150" t="s">
        <v>90</v>
      </c>
      <c r="B478" s="23"/>
      <c r="C478" s="23" t="s">
        <v>667</v>
      </c>
      <c r="D478" s="138" t="s">
        <v>668</v>
      </c>
      <c r="E478" s="23">
        <v>120000</v>
      </c>
      <c r="F478" s="41">
        <f t="shared" si="83"/>
        <v>0.86758333333333337</v>
      </c>
      <c r="G478" s="34">
        <v>56</v>
      </c>
      <c r="H478" s="98">
        <f>I478+J478</f>
        <v>104110</v>
      </c>
      <c r="I478" s="23">
        <f>SUM(I479:I486)</f>
        <v>88000</v>
      </c>
      <c r="J478" s="23">
        <f>K478+L478</f>
        <v>16110</v>
      </c>
      <c r="K478" s="23">
        <v>0</v>
      </c>
      <c r="L478" s="23">
        <v>16110</v>
      </c>
      <c r="M478" s="23">
        <f>N478+P478</f>
        <v>1302.43</v>
      </c>
      <c r="N478" s="23">
        <v>1041.95</v>
      </c>
      <c r="O478" s="188">
        <v>1040</v>
      </c>
      <c r="P478" s="23">
        <v>260.48</v>
      </c>
      <c r="Q478" s="188">
        <v>260</v>
      </c>
      <c r="R478" s="23">
        <v>0</v>
      </c>
      <c r="S478" s="23">
        <v>103800</v>
      </c>
      <c r="T478" s="23">
        <f>J478/5000*100</f>
        <v>322.2</v>
      </c>
      <c r="U478" s="169">
        <v>300</v>
      </c>
      <c r="V478" s="169">
        <f t="shared" ref="V478" si="84">U478*2</f>
        <v>600</v>
      </c>
      <c r="W478" s="55">
        <f>H478-R478-S478-U478</f>
        <v>10</v>
      </c>
      <c r="X478" s="91"/>
    </row>
    <row r="479" spans="1:24" s="2" customFormat="1" ht="24.95" hidden="1" customHeight="1">
      <c r="A479" s="29"/>
      <c r="B479" s="21"/>
      <c r="C479" s="22"/>
      <c r="D479" s="138" t="s">
        <v>669</v>
      </c>
      <c r="E479" s="23"/>
      <c r="F479" s="41" t="e">
        <f>H479/E479</f>
        <v>#DIV/0!</v>
      </c>
      <c r="G479" s="37"/>
      <c r="H479" s="98"/>
      <c r="I479" s="23">
        <v>10000</v>
      </c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169"/>
      <c r="V479" s="169"/>
      <c r="W479" s="55"/>
      <c r="X479" s="148"/>
    </row>
    <row r="480" spans="1:24" s="2" customFormat="1" ht="24.95" hidden="1" customHeight="1">
      <c r="A480" s="149"/>
      <c r="B480" s="91"/>
      <c r="C480" s="23"/>
      <c r="D480" s="138" t="s">
        <v>670</v>
      </c>
      <c r="E480" s="23"/>
      <c r="F480" s="41"/>
      <c r="G480" s="34"/>
      <c r="H480" s="98"/>
      <c r="I480" s="23">
        <v>10000</v>
      </c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55"/>
      <c r="X480" s="91"/>
    </row>
    <row r="481" spans="1:26" ht="24.95" hidden="1" customHeight="1">
      <c r="A481" s="149"/>
      <c r="B481" s="91"/>
      <c r="C481" s="23"/>
      <c r="D481" s="138" t="s">
        <v>671</v>
      </c>
      <c r="E481" s="23"/>
      <c r="F481" s="41"/>
      <c r="G481" s="34"/>
      <c r="H481" s="98"/>
      <c r="I481" s="23">
        <v>10000</v>
      </c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55"/>
      <c r="X481" s="91"/>
    </row>
    <row r="482" spans="1:26" ht="24.95" hidden="1" customHeight="1">
      <c r="A482" s="149"/>
      <c r="B482" s="91"/>
      <c r="C482" s="23"/>
      <c r="D482" s="138" t="s">
        <v>672</v>
      </c>
      <c r="E482" s="23"/>
      <c r="F482" s="41"/>
      <c r="G482" s="34"/>
      <c r="H482" s="98"/>
      <c r="I482" s="23">
        <v>3000</v>
      </c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55"/>
      <c r="X482" s="91"/>
    </row>
    <row r="483" spans="1:26" ht="24.95" hidden="1" customHeight="1">
      <c r="A483" s="149"/>
      <c r="B483" s="91"/>
      <c r="C483" s="23"/>
      <c r="D483" s="138" t="s">
        <v>673</v>
      </c>
      <c r="E483" s="23"/>
      <c r="F483" s="41"/>
      <c r="G483" s="34"/>
      <c r="H483" s="98"/>
      <c r="I483" s="23">
        <v>10000</v>
      </c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55"/>
      <c r="X483" s="91"/>
    </row>
    <row r="484" spans="1:26" ht="24.95" hidden="1" customHeight="1">
      <c r="A484" s="149"/>
      <c r="B484" s="91"/>
      <c r="C484" s="23"/>
      <c r="D484" s="138" t="s">
        <v>674</v>
      </c>
      <c r="E484" s="23"/>
      <c r="F484" s="41"/>
      <c r="G484" s="34"/>
      <c r="H484" s="98"/>
      <c r="I484" s="23">
        <v>15000</v>
      </c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55"/>
      <c r="X484" s="91"/>
    </row>
    <row r="485" spans="1:26" ht="24.95" hidden="1" customHeight="1">
      <c r="A485" s="149"/>
      <c r="B485" s="91"/>
      <c r="C485" s="138"/>
      <c r="D485" s="138" t="s">
        <v>675</v>
      </c>
      <c r="E485" s="138"/>
      <c r="F485" s="138"/>
      <c r="G485" s="71"/>
      <c r="H485" s="216"/>
      <c r="I485" s="23">
        <v>20000</v>
      </c>
      <c r="J485" s="138"/>
      <c r="K485" s="138"/>
      <c r="L485" s="138"/>
      <c r="M485" s="138"/>
      <c r="N485" s="79"/>
      <c r="O485" s="79"/>
      <c r="P485" s="79"/>
      <c r="Q485" s="79"/>
      <c r="R485" s="79"/>
      <c r="S485" s="138"/>
      <c r="T485" s="138"/>
      <c r="U485" s="138"/>
      <c r="V485" s="138"/>
      <c r="W485" s="55"/>
      <c r="X485" s="91"/>
    </row>
    <row r="486" spans="1:26" ht="24.95" hidden="1" customHeight="1">
      <c r="A486" s="150"/>
      <c r="B486" s="23"/>
      <c r="C486" s="138">
        <v>44882</v>
      </c>
      <c r="D486" s="138" t="s">
        <v>676</v>
      </c>
      <c r="E486" s="138"/>
      <c r="F486" s="138"/>
      <c r="G486" s="71"/>
      <c r="H486" s="216"/>
      <c r="I486" s="23">
        <v>10000</v>
      </c>
      <c r="J486" s="138"/>
      <c r="K486" s="138"/>
      <c r="L486" s="138"/>
      <c r="M486" s="138"/>
      <c r="N486" s="79"/>
      <c r="O486" s="79"/>
      <c r="P486" s="79"/>
      <c r="Q486" s="79"/>
      <c r="R486" s="79"/>
      <c r="S486" s="138"/>
      <c r="T486" s="138"/>
      <c r="U486" s="138"/>
      <c r="V486" s="138"/>
      <c r="W486" s="55"/>
      <c r="X486" s="91"/>
    </row>
    <row r="487" spans="1:26" ht="24.95" customHeight="1">
      <c r="A487" s="244" t="s">
        <v>677</v>
      </c>
      <c r="B487" s="245"/>
      <c r="C487" s="245"/>
      <c r="D487" s="245"/>
      <c r="E487" s="245"/>
      <c r="F487" s="245"/>
      <c r="G487" s="245"/>
      <c r="H487" s="245"/>
      <c r="I487" s="245"/>
      <c r="J487" s="245"/>
      <c r="K487" s="245"/>
      <c r="L487" s="245"/>
      <c r="M487" s="245"/>
      <c r="N487" s="245"/>
      <c r="O487" s="245"/>
      <c r="P487" s="245"/>
      <c r="Q487" s="245"/>
      <c r="R487" s="245"/>
      <c r="S487" s="245"/>
      <c r="T487" s="245"/>
      <c r="U487" s="245"/>
      <c r="V487" s="245"/>
      <c r="W487" s="251"/>
      <c r="X487" s="183"/>
    </row>
    <row r="488" spans="1:26" s="180" customFormat="1" ht="24.95" customHeight="1">
      <c r="A488" s="141">
        <v>12</v>
      </c>
      <c r="B488" s="8" t="s">
        <v>0</v>
      </c>
      <c r="C488" s="10" t="s">
        <v>678</v>
      </c>
      <c r="D488" s="10" t="s">
        <v>679</v>
      </c>
      <c r="E488" s="19">
        <v>3605000</v>
      </c>
      <c r="F488" s="39">
        <f>H488/E488</f>
        <v>0.55958828294036067</v>
      </c>
      <c r="G488" s="18">
        <f>G489+G491+G492+G493+G495+G496</f>
        <v>13735</v>
      </c>
      <c r="H488" s="97">
        <f>H489+H491+H492+H493+H495+H496</f>
        <v>2017315.7600000002</v>
      </c>
      <c r="I488" s="19">
        <f>I489+I491+I492+I493+I495+I496</f>
        <v>58000</v>
      </c>
      <c r="J488" s="19">
        <f>J489+J491+J492+J493+J495+J496</f>
        <v>1959315.7600000002</v>
      </c>
      <c r="K488" s="19">
        <f>K491+K496+K492</f>
        <v>699228.58</v>
      </c>
      <c r="L488" s="19">
        <f>SUM(L489:L496)</f>
        <v>1260087.1800000002</v>
      </c>
      <c r="M488" s="19">
        <f>M489+M492+M493+M495</f>
        <v>26540.81</v>
      </c>
      <c r="N488" s="19">
        <f>N489+N492+N493+N495</f>
        <v>21232.67</v>
      </c>
      <c r="O488" s="186">
        <f>O489+O492+O493+O495</f>
        <v>21240</v>
      </c>
      <c r="P488" s="19">
        <f>P489+P492+P493+P495</f>
        <v>5308.14</v>
      </c>
      <c r="Q488" s="186">
        <f>Q489+Q492+Q493+Q495</f>
        <v>5310</v>
      </c>
      <c r="R488" s="19">
        <f>R489+R491+R492+R493+R495+R496</f>
        <v>0</v>
      </c>
      <c r="S488" s="19">
        <f>S489+S491+S492+S493+S495+S496</f>
        <v>1976400</v>
      </c>
      <c r="T488" s="19">
        <f>T489+T491+T492+T493+T495+T496</f>
        <v>39186.315199999997</v>
      </c>
      <c r="U488" s="19">
        <f>U489+U491+U492+U493+U495+U496</f>
        <v>38900</v>
      </c>
      <c r="V488" s="19">
        <f>V489+V491+V492+V493+V495+V496</f>
        <v>77800</v>
      </c>
      <c r="W488" s="52">
        <f>H488-R488-S488-U488</f>
        <v>2015.7600000002421</v>
      </c>
      <c r="X488" s="58"/>
      <c r="Z488" s="59"/>
    </row>
    <row r="489" spans="1:26" ht="24.95" customHeight="1">
      <c r="A489" s="29" t="s">
        <v>680</v>
      </c>
      <c r="B489" s="112" t="s">
        <v>0</v>
      </c>
      <c r="C489" s="22" t="s">
        <v>681</v>
      </c>
      <c r="D489" s="22" t="s">
        <v>682</v>
      </c>
      <c r="E489" s="23">
        <v>180000</v>
      </c>
      <c r="F489" s="41">
        <f t="shared" ref="F489:F496" si="85">H489/E489</f>
        <v>0.58988099999999999</v>
      </c>
      <c r="G489" s="26">
        <v>615</v>
      </c>
      <c r="H489" s="98">
        <f>I489+J489</f>
        <v>106178.58</v>
      </c>
      <c r="I489" s="23">
        <f>SUM(I490)</f>
        <v>10000</v>
      </c>
      <c r="J489" s="23">
        <f>K489+L489</f>
        <v>96178.58</v>
      </c>
      <c r="K489" s="23">
        <v>0</v>
      </c>
      <c r="L489" s="23">
        <v>96178.58</v>
      </c>
      <c r="M489" s="23">
        <f>N489+P489</f>
        <v>6930.58</v>
      </c>
      <c r="N489" s="23">
        <f>5337.55+206.92</f>
        <v>5544.47</v>
      </c>
      <c r="O489" s="188">
        <v>5550</v>
      </c>
      <c r="P489" s="23">
        <f>1334.38+51.73</f>
        <v>1386.1100000000001</v>
      </c>
      <c r="Q489" s="188">
        <v>1387</v>
      </c>
      <c r="R489" s="23">
        <v>0</v>
      </c>
      <c r="S489" s="23">
        <v>104300</v>
      </c>
      <c r="T489" s="23">
        <f>J489/5000*100</f>
        <v>1923.5716</v>
      </c>
      <c r="U489" s="169">
        <v>1900</v>
      </c>
      <c r="V489" s="169">
        <f t="shared" ref="V489" si="86">U489*2</f>
        <v>3800</v>
      </c>
      <c r="W489" s="55">
        <f>H489-R489-S489-U489</f>
        <v>-21.419999999998254</v>
      </c>
      <c r="X489" s="56"/>
    </row>
    <row r="490" spans="1:26" ht="24.95" hidden="1" customHeight="1">
      <c r="A490" s="29"/>
      <c r="B490" s="112"/>
      <c r="C490" s="22"/>
      <c r="D490" s="22" t="s">
        <v>683</v>
      </c>
      <c r="E490" s="23"/>
      <c r="F490" s="41" t="e">
        <f t="shared" si="85"/>
        <v>#DIV/0!</v>
      </c>
      <c r="G490" s="26"/>
      <c r="H490" s="98"/>
      <c r="I490" s="23">
        <v>10000</v>
      </c>
      <c r="J490" s="23"/>
      <c r="K490" s="23"/>
      <c r="L490" s="23"/>
      <c r="M490" s="23"/>
      <c r="N490" s="23"/>
      <c r="O490" s="188"/>
      <c r="P490" s="23"/>
      <c r="Q490" s="188"/>
      <c r="R490" s="23"/>
      <c r="S490" s="23"/>
      <c r="T490" s="23"/>
      <c r="U490" s="169"/>
      <c r="V490" s="169"/>
      <c r="W490" s="55"/>
      <c r="X490" s="56"/>
    </row>
    <row r="491" spans="1:26" ht="24.95" customHeight="1">
      <c r="A491" s="29" t="s">
        <v>684</v>
      </c>
      <c r="B491" s="112" t="s">
        <v>0</v>
      </c>
      <c r="C491" s="22" t="s">
        <v>685</v>
      </c>
      <c r="D491" s="22" t="s">
        <v>686</v>
      </c>
      <c r="E491" s="23">
        <v>335000</v>
      </c>
      <c r="F491" s="41">
        <f t="shared" si="85"/>
        <v>1.1782689552238805</v>
      </c>
      <c r="G491" s="37">
        <v>2987</v>
      </c>
      <c r="H491" s="98">
        <f>I491+J491</f>
        <v>394720.1</v>
      </c>
      <c r="I491" s="23">
        <v>0</v>
      </c>
      <c r="J491" s="23">
        <f>K491+L491</f>
        <v>394720.1</v>
      </c>
      <c r="K491" s="23">
        <v>394720.1</v>
      </c>
      <c r="L491" s="23">
        <v>0</v>
      </c>
      <c r="M491" s="23">
        <f>N491+P491</f>
        <v>0</v>
      </c>
      <c r="N491" s="23">
        <v>0</v>
      </c>
      <c r="O491" s="188">
        <v>0</v>
      </c>
      <c r="P491" s="23">
        <v>0</v>
      </c>
      <c r="Q491" s="188">
        <v>0</v>
      </c>
      <c r="R491" s="23">
        <v>0</v>
      </c>
      <c r="S491" s="23">
        <v>386900</v>
      </c>
      <c r="T491" s="23">
        <f>J491/5000*100</f>
        <v>7894.4019999999991</v>
      </c>
      <c r="U491" s="169">
        <v>7800</v>
      </c>
      <c r="V491" s="169">
        <f t="shared" ref="V491:V493" si="87">U491*2</f>
        <v>15600</v>
      </c>
      <c r="W491" s="55">
        <f>H491-R491-S491-U491</f>
        <v>20.099999999976717</v>
      </c>
      <c r="X491" s="56"/>
    </row>
    <row r="492" spans="1:26" ht="24.95" customHeight="1">
      <c r="A492" s="29" t="s">
        <v>687</v>
      </c>
      <c r="B492" s="112" t="s">
        <v>0</v>
      </c>
      <c r="C492" s="22" t="s">
        <v>688</v>
      </c>
      <c r="D492" s="22" t="s">
        <v>689</v>
      </c>
      <c r="E492" s="23">
        <v>400000</v>
      </c>
      <c r="F492" s="41">
        <f t="shared" si="85"/>
        <v>1.0825027249999999</v>
      </c>
      <c r="G492" s="37">
        <v>5368</v>
      </c>
      <c r="H492" s="98">
        <f t="shared" ref="H492:H496" si="88">I492+J492</f>
        <v>433001.08999999997</v>
      </c>
      <c r="I492" s="23">
        <v>0</v>
      </c>
      <c r="J492" s="23">
        <f t="shared" ref="J492:J496" si="89">K492+L492</f>
        <v>433001.08999999997</v>
      </c>
      <c r="K492" s="23">
        <v>31349.48</v>
      </c>
      <c r="L492" s="23">
        <v>401651.61</v>
      </c>
      <c r="M492" s="23">
        <f>N492+P492</f>
        <v>6708.78</v>
      </c>
      <c r="N492" s="23">
        <f>5297+19.73+50.3</f>
        <v>5367.03</v>
      </c>
      <c r="O492" s="188">
        <v>5370</v>
      </c>
      <c r="P492" s="23">
        <f>1324.25+4.93+12.57</f>
        <v>1341.75</v>
      </c>
      <c r="Q492" s="188">
        <v>1342</v>
      </c>
      <c r="R492" s="23">
        <v>0</v>
      </c>
      <c r="S492" s="23">
        <v>424400</v>
      </c>
      <c r="T492" s="23">
        <f>J492/5000*100</f>
        <v>8660.0218000000004</v>
      </c>
      <c r="U492" s="169">
        <v>8600</v>
      </c>
      <c r="V492" s="169">
        <f t="shared" si="87"/>
        <v>17200</v>
      </c>
      <c r="W492" s="55">
        <f>H492-R492-S492-U492</f>
        <v>1.0899999999674037</v>
      </c>
      <c r="X492" s="56"/>
    </row>
    <row r="493" spans="1:26" ht="24.95" customHeight="1">
      <c r="A493" s="29" t="s">
        <v>690</v>
      </c>
      <c r="B493" s="112" t="s">
        <v>0</v>
      </c>
      <c r="C493" s="22" t="s">
        <v>691</v>
      </c>
      <c r="D493" s="22" t="s">
        <v>692</v>
      </c>
      <c r="E493" s="23">
        <v>300000</v>
      </c>
      <c r="F493" s="41">
        <f t="shared" si="85"/>
        <v>0.64303796666666668</v>
      </c>
      <c r="G493" s="26">
        <v>1547</v>
      </c>
      <c r="H493" s="98">
        <f t="shared" si="88"/>
        <v>192911.39</v>
      </c>
      <c r="I493" s="23">
        <f>I494</f>
        <v>48000</v>
      </c>
      <c r="J493" s="23">
        <f t="shared" si="89"/>
        <v>144911.39000000001</v>
      </c>
      <c r="K493" s="23">
        <v>0</v>
      </c>
      <c r="L493" s="23">
        <v>144911.39000000001</v>
      </c>
      <c r="M493" s="23">
        <f>N493+P493</f>
        <v>12894.18</v>
      </c>
      <c r="N493" s="23">
        <f>10268.59+46.76</f>
        <v>10315.35</v>
      </c>
      <c r="O493" s="188">
        <v>10320</v>
      </c>
      <c r="P493" s="23">
        <f>2567.14+11.69</f>
        <v>2578.83</v>
      </c>
      <c r="Q493" s="188">
        <v>2579</v>
      </c>
      <c r="R493" s="23">
        <v>0</v>
      </c>
      <c r="S493" s="23">
        <v>190000</v>
      </c>
      <c r="T493" s="23">
        <f>J493/5000*100</f>
        <v>2898.2278000000006</v>
      </c>
      <c r="U493" s="169">
        <v>2900</v>
      </c>
      <c r="V493" s="169">
        <f t="shared" si="87"/>
        <v>5800</v>
      </c>
      <c r="W493" s="55">
        <f>H493-R493-S493-U493</f>
        <v>11.39000000001397</v>
      </c>
      <c r="X493" s="56"/>
    </row>
    <row r="494" spans="1:26" ht="24.95" hidden="1" customHeight="1">
      <c r="A494" s="29"/>
      <c r="B494" s="112"/>
      <c r="C494" s="22"/>
      <c r="D494" s="22" t="s">
        <v>693</v>
      </c>
      <c r="E494" s="23"/>
      <c r="F494" s="41"/>
      <c r="G494" s="26"/>
      <c r="H494" s="98"/>
      <c r="I494" s="23">
        <v>48000</v>
      </c>
      <c r="J494" s="23"/>
      <c r="K494" s="23"/>
      <c r="L494" s="23"/>
      <c r="M494" s="23"/>
      <c r="N494" s="23"/>
      <c r="O494" s="188"/>
      <c r="P494" s="23"/>
      <c r="Q494" s="188"/>
      <c r="R494" s="23"/>
      <c r="S494" s="23"/>
      <c r="T494" s="23"/>
      <c r="U494" s="169"/>
      <c r="V494" s="169"/>
      <c r="W494" s="55"/>
      <c r="X494" s="56"/>
    </row>
    <row r="495" spans="1:26" ht="24.95" customHeight="1">
      <c r="A495" s="29" t="s">
        <v>694</v>
      </c>
      <c r="B495" s="112" t="s">
        <v>0</v>
      </c>
      <c r="C495" s="22" t="s">
        <v>695</v>
      </c>
      <c r="D495" s="22" t="s">
        <v>696</v>
      </c>
      <c r="E495" s="23">
        <v>1970000</v>
      </c>
      <c r="F495" s="41">
        <f t="shared" si="85"/>
        <v>0.31337340101522843</v>
      </c>
      <c r="G495" s="26">
        <v>562</v>
      </c>
      <c r="H495" s="98">
        <f t="shared" si="88"/>
        <v>617345.6</v>
      </c>
      <c r="I495" s="23">
        <v>0</v>
      </c>
      <c r="J495" s="23">
        <f t="shared" si="89"/>
        <v>617345.6</v>
      </c>
      <c r="K495" s="23">
        <v>0</v>
      </c>
      <c r="L495" s="23">
        <v>617345.6</v>
      </c>
      <c r="M495" s="23">
        <f>N495+P495</f>
        <v>7.2700000000000005</v>
      </c>
      <c r="N495" s="23">
        <v>5.82</v>
      </c>
      <c r="O495" s="188">
        <v>0</v>
      </c>
      <c r="P495" s="23">
        <v>1.45</v>
      </c>
      <c r="Q495" s="188">
        <v>2</v>
      </c>
      <c r="R495" s="23">
        <v>0</v>
      </c>
      <c r="S495" s="23">
        <v>605000</v>
      </c>
      <c r="T495" s="23">
        <f>J495/5000*100</f>
        <v>12346.911999999998</v>
      </c>
      <c r="U495" s="169">
        <v>12300</v>
      </c>
      <c r="V495" s="169">
        <f t="shared" ref="V495:V496" si="90">U495*2</f>
        <v>24600</v>
      </c>
      <c r="W495" s="55">
        <f>H495-R495-S495-U495</f>
        <v>45.599999999976717</v>
      </c>
      <c r="X495" s="56"/>
    </row>
    <row r="496" spans="1:26" ht="24.95" customHeight="1">
      <c r="A496" s="29" t="s">
        <v>91</v>
      </c>
      <c r="B496" s="112" t="s">
        <v>0</v>
      </c>
      <c r="C496" s="22" t="s">
        <v>697</v>
      </c>
      <c r="D496" s="22" t="s">
        <v>698</v>
      </c>
      <c r="E496" s="23">
        <v>420000</v>
      </c>
      <c r="F496" s="41">
        <f t="shared" si="85"/>
        <v>0.65037857142857147</v>
      </c>
      <c r="G496" s="26">
        <v>2656</v>
      </c>
      <c r="H496" s="98">
        <f t="shared" si="88"/>
        <v>273159</v>
      </c>
      <c r="I496" s="23">
        <v>0</v>
      </c>
      <c r="J496" s="23">
        <f t="shared" si="89"/>
        <v>273159</v>
      </c>
      <c r="K496" s="23">
        <v>273159</v>
      </c>
      <c r="L496" s="23">
        <v>0</v>
      </c>
      <c r="M496" s="23">
        <f>N496+P496</f>
        <v>0</v>
      </c>
      <c r="N496" s="23">
        <v>0</v>
      </c>
      <c r="O496" s="188">
        <v>0</v>
      </c>
      <c r="P496" s="23">
        <v>0</v>
      </c>
      <c r="Q496" s="188">
        <v>0</v>
      </c>
      <c r="R496" s="23">
        <v>0</v>
      </c>
      <c r="S496" s="23">
        <v>265800</v>
      </c>
      <c r="T496" s="23">
        <f>J496/5000*100</f>
        <v>5463.18</v>
      </c>
      <c r="U496" s="169">
        <v>5400</v>
      </c>
      <c r="V496" s="169">
        <f t="shared" si="90"/>
        <v>10800</v>
      </c>
      <c r="W496" s="55">
        <f>H496-R496-S496-U496</f>
        <v>1959</v>
      </c>
      <c r="X496" s="56"/>
    </row>
    <row r="497" spans="1:26" ht="24.95" customHeight="1">
      <c r="A497" s="244" t="s">
        <v>699</v>
      </c>
      <c r="B497" s="245"/>
      <c r="C497" s="245"/>
      <c r="D497" s="245"/>
      <c r="E497" s="245"/>
      <c r="F497" s="245"/>
      <c r="G497" s="245"/>
      <c r="H497" s="245"/>
      <c r="I497" s="245"/>
      <c r="J497" s="245"/>
      <c r="K497" s="245"/>
      <c r="L497" s="245"/>
      <c r="M497" s="245"/>
      <c r="N497" s="245"/>
      <c r="O497" s="245"/>
      <c r="P497" s="245"/>
      <c r="Q497" s="245"/>
      <c r="R497" s="245"/>
      <c r="S497" s="245"/>
      <c r="T497" s="245"/>
      <c r="U497" s="246"/>
      <c r="V497" s="246"/>
      <c r="W497" s="247"/>
      <c r="X497" s="183"/>
    </row>
    <row r="498" spans="1:26" s="180" customFormat="1" ht="24.95" customHeight="1">
      <c r="A498" s="141">
        <v>13</v>
      </c>
      <c r="B498" s="8" t="s">
        <v>0</v>
      </c>
      <c r="C498" s="10" t="s">
        <v>700</v>
      </c>
      <c r="D498" s="10" t="s">
        <v>701</v>
      </c>
      <c r="E498" s="19">
        <v>940000</v>
      </c>
      <c r="F498" s="39">
        <f>H498/E498</f>
        <v>0.22476222340425533</v>
      </c>
      <c r="G498" s="18">
        <f>G499+G500+G502+G507+G509+G511</f>
        <v>596</v>
      </c>
      <c r="H498" s="97">
        <f>I498+J498</f>
        <v>211276.49000000002</v>
      </c>
      <c r="I498" s="19">
        <f>I499+I500+I502+I507+I509+I511</f>
        <v>70000</v>
      </c>
      <c r="J498" s="19">
        <f>K498+L498</f>
        <v>141276.49000000002</v>
      </c>
      <c r="K498" s="19">
        <v>0</v>
      </c>
      <c r="L498" s="19">
        <f>SUM(L499:L511)</f>
        <v>141276.49000000002</v>
      </c>
      <c r="M498" s="19">
        <f t="shared" ref="M498:V498" si="91">M499+M500+M502+M507+M509+M511</f>
        <v>7501.7499999999991</v>
      </c>
      <c r="N498" s="19">
        <f t="shared" si="91"/>
        <v>6001.4199999999992</v>
      </c>
      <c r="O498" s="186">
        <f t="shared" si="91"/>
        <v>6008</v>
      </c>
      <c r="P498" s="19">
        <f t="shared" si="91"/>
        <v>1500.33</v>
      </c>
      <c r="Q498" s="186">
        <f t="shared" si="91"/>
        <v>1502</v>
      </c>
      <c r="R498" s="19">
        <f t="shared" si="91"/>
        <v>0</v>
      </c>
      <c r="S498" s="19">
        <f t="shared" si="91"/>
        <v>208500</v>
      </c>
      <c r="T498" s="19">
        <f t="shared" si="91"/>
        <v>2825.5298000000003</v>
      </c>
      <c r="U498" s="19">
        <f t="shared" si="91"/>
        <v>2700</v>
      </c>
      <c r="V498" s="19">
        <f t="shared" si="91"/>
        <v>5400</v>
      </c>
      <c r="W498" s="52">
        <f>H498-R498-S498-U498</f>
        <v>76.490000000019791</v>
      </c>
      <c r="X498" s="58"/>
      <c r="Z498" s="59"/>
    </row>
    <row r="499" spans="1:26" ht="24.95" customHeight="1">
      <c r="A499" s="29" t="s">
        <v>702</v>
      </c>
      <c r="B499" s="112" t="s">
        <v>0</v>
      </c>
      <c r="C499" s="22" t="s">
        <v>703</v>
      </c>
      <c r="D499" s="22" t="s">
        <v>704</v>
      </c>
      <c r="E499" s="23">
        <v>250000</v>
      </c>
      <c r="F499" s="41">
        <f t="shared" ref="F499:F511" si="92">H499/E499</f>
        <v>4.3116040000000001E-2</v>
      </c>
      <c r="G499" s="26">
        <v>262</v>
      </c>
      <c r="H499" s="98">
        <f>I499+J499</f>
        <v>10779.01</v>
      </c>
      <c r="I499" s="23">
        <v>0</v>
      </c>
      <c r="J499" s="23">
        <f>K499+L499</f>
        <v>10779.01</v>
      </c>
      <c r="K499" s="23">
        <v>0</v>
      </c>
      <c r="L499" s="23">
        <v>10779.01</v>
      </c>
      <c r="M499" s="23">
        <f>N499+P499</f>
        <v>1929.85</v>
      </c>
      <c r="N499" s="23">
        <f>1542.84+1.04</f>
        <v>1543.8799999999999</v>
      </c>
      <c r="O499" s="188">
        <v>1544</v>
      </c>
      <c r="P499" s="23">
        <f>385.71+0.26</f>
        <v>385.96999999999997</v>
      </c>
      <c r="Q499" s="188">
        <v>386</v>
      </c>
      <c r="R499" s="23">
        <v>0</v>
      </c>
      <c r="S499" s="23">
        <v>10600</v>
      </c>
      <c r="T499" s="23">
        <f>J499/5000*100</f>
        <v>215.58019999999999</v>
      </c>
      <c r="U499" s="169">
        <v>200</v>
      </c>
      <c r="V499" s="169">
        <f t="shared" ref="V499:V500" si="93">U499*2</f>
        <v>400</v>
      </c>
      <c r="W499" s="55">
        <f>H499-R499-S499-U499</f>
        <v>-20.989999999999782</v>
      </c>
      <c r="X499" s="56"/>
    </row>
    <row r="500" spans="1:26" ht="24.95" customHeight="1">
      <c r="A500" s="29" t="s">
        <v>705</v>
      </c>
      <c r="B500" s="112" t="s">
        <v>0</v>
      </c>
      <c r="C500" s="22" t="s">
        <v>706</v>
      </c>
      <c r="D500" s="22" t="s">
        <v>707</v>
      </c>
      <c r="E500" s="23">
        <v>150000</v>
      </c>
      <c r="F500" s="41">
        <f t="shared" si="92"/>
        <v>0.98467519999999997</v>
      </c>
      <c r="G500" s="26">
        <v>264</v>
      </c>
      <c r="H500" s="98">
        <f>I500+J500</f>
        <v>147701.28</v>
      </c>
      <c r="I500" s="23">
        <f>SUM(I501)</f>
        <v>20000</v>
      </c>
      <c r="J500" s="23">
        <f>K500+L500</f>
        <v>127701.28</v>
      </c>
      <c r="K500" s="23">
        <v>0</v>
      </c>
      <c r="L500" s="23">
        <v>127701.28</v>
      </c>
      <c r="M500" s="23">
        <f>N500+P500</f>
        <v>5294.0499999999993</v>
      </c>
      <c r="N500" s="23">
        <f>4233.16+1.12+0.96</f>
        <v>4235.24</v>
      </c>
      <c r="O500" s="188">
        <v>4236</v>
      </c>
      <c r="P500" s="23">
        <f>1058.29+0.28+0.24</f>
        <v>1058.81</v>
      </c>
      <c r="Q500" s="188">
        <v>1060</v>
      </c>
      <c r="R500" s="23">
        <v>0</v>
      </c>
      <c r="S500" s="23">
        <v>145200</v>
      </c>
      <c r="T500" s="23">
        <f>J500/5000*100</f>
        <v>2554.0255999999999</v>
      </c>
      <c r="U500" s="169">
        <v>2500</v>
      </c>
      <c r="V500" s="169">
        <f t="shared" si="93"/>
        <v>5000</v>
      </c>
      <c r="W500" s="55">
        <f>H500-R500-S500-U500</f>
        <v>1.2799999999988358</v>
      </c>
      <c r="X500" s="56"/>
    </row>
    <row r="501" spans="1:26" ht="24.95" hidden="1" customHeight="1">
      <c r="A501" s="29"/>
      <c r="B501" s="112"/>
      <c r="C501" s="22"/>
      <c r="D501" s="22" t="s">
        <v>708</v>
      </c>
      <c r="E501" s="23"/>
      <c r="F501" s="41" t="e">
        <f t="shared" si="92"/>
        <v>#DIV/0!</v>
      </c>
      <c r="G501" s="26"/>
      <c r="H501" s="98"/>
      <c r="I501" s="23">
        <v>20000</v>
      </c>
      <c r="J501" s="23"/>
      <c r="K501" s="23"/>
      <c r="L501" s="23"/>
      <c r="M501" s="23"/>
      <c r="N501" s="23"/>
      <c r="O501" s="188"/>
      <c r="P501" s="23"/>
      <c r="Q501" s="23"/>
      <c r="R501" s="23"/>
      <c r="S501" s="23"/>
      <c r="T501" s="23"/>
      <c r="U501" s="169"/>
      <c r="V501" s="169"/>
      <c r="W501" s="55"/>
      <c r="X501" s="56"/>
    </row>
    <row r="502" spans="1:26" ht="24.95" customHeight="1">
      <c r="A502" s="29" t="s">
        <v>709</v>
      </c>
      <c r="B502" s="112" t="s">
        <v>0</v>
      </c>
      <c r="C502" s="22" t="s">
        <v>710</v>
      </c>
      <c r="D502" s="22" t="s">
        <v>711</v>
      </c>
      <c r="E502" s="23">
        <v>150000</v>
      </c>
      <c r="F502" s="41">
        <f t="shared" si="92"/>
        <v>0.33410866666666666</v>
      </c>
      <c r="G502" s="26">
        <v>5</v>
      </c>
      <c r="H502" s="98">
        <f>I502+J502</f>
        <v>50116.3</v>
      </c>
      <c r="I502" s="23">
        <f>SUM(I503:I506)</f>
        <v>50000</v>
      </c>
      <c r="J502" s="23">
        <f>K502+L502</f>
        <v>116.3</v>
      </c>
      <c r="K502" s="23">
        <v>0</v>
      </c>
      <c r="L502" s="23">
        <v>116.3</v>
      </c>
      <c r="M502" s="23">
        <f>N502+P502</f>
        <v>9.73</v>
      </c>
      <c r="N502" s="23">
        <f>7.11+0.68</f>
        <v>7.79</v>
      </c>
      <c r="O502" s="188">
        <v>10</v>
      </c>
      <c r="P502" s="23">
        <f>1.77+0.17</f>
        <v>1.94</v>
      </c>
      <c r="Q502" s="188">
        <v>2</v>
      </c>
      <c r="R502" s="23">
        <v>0</v>
      </c>
      <c r="S502" s="23">
        <v>50100</v>
      </c>
      <c r="T502" s="23">
        <f>J502/5000*100</f>
        <v>2.3260000000000001</v>
      </c>
      <c r="U502" s="169">
        <v>0</v>
      </c>
      <c r="V502" s="169">
        <f t="shared" ref="V502" si="94">U502*2</f>
        <v>0</v>
      </c>
      <c r="W502" s="55">
        <f>H502-R502-S502-U502</f>
        <v>16.30000000000291</v>
      </c>
      <c r="X502" s="56"/>
    </row>
    <row r="503" spans="1:26" ht="24.95" hidden="1" customHeight="1">
      <c r="A503" s="29"/>
      <c r="B503" s="112"/>
      <c r="C503" s="22"/>
      <c r="D503" s="22" t="s">
        <v>712</v>
      </c>
      <c r="E503" s="23"/>
      <c r="F503" s="41"/>
      <c r="G503" s="26"/>
      <c r="H503" s="98"/>
      <c r="I503" s="23">
        <v>10000</v>
      </c>
      <c r="J503" s="23"/>
      <c r="K503" s="23"/>
      <c r="L503" s="23"/>
      <c r="M503" s="23"/>
      <c r="N503" s="23"/>
      <c r="O503" s="188"/>
      <c r="P503" s="23"/>
      <c r="Q503" s="23"/>
      <c r="R503" s="23"/>
      <c r="S503" s="23"/>
      <c r="T503" s="23"/>
      <c r="U503" s="169"/>
      <c r="V503" s="169"/>
      <c r="W503" s="55"/>
      <c r="X503" s="56"/>
    </row>
    <row r="504" spans="1:26" ht="24.95" hidden="1" customHeight="1">
      <c r="A504" s="29"/>
      <c r="B504" s="112"/>
      <c r="C504" s="22"/>
      <c r="D504" s="22" t="s">
        <v>713</v>
      </c>
      <c r="E504" s="23"/>
      <c r="F504" s="41"/>
      <c r="G504" s="26"/>
      <c r="H504" s="98"/>
      <c r="I504" s="23">
        <v>10000</v>
      </c>
      <c r="J504" s="23"/>
      <c r="K504" s="23"/>
      <c r="L504" s="23"/>
      <c r="M504" s="23"/>
      <c r="N504" s="23"/>
      <c r="O504" s="188"/>
      <c r="P504" s="23"/>
      <c r="Q504" s="23"/>
      <c r="R504" s="23"/>
      <c r="S504" s="23"/>
      <c r="T504" s="23"/>
      <c r="U504" s="169"/>
      <c r="V504" s="169"/>
      <c r="W504" s="55"/>
      <c r="X504" s="56"/>
    </row>
    <row r="505" spans="1:26" ht="24.95" hidden="1" customHeight="1">
      <c r="A505" s="29"/>
      <c r="B505" s="112"/>
      <c r="C505" s="22"/>
      <c r="D505" s="22" t="s">
        <v>714</v>
      </c>
      <c r="E505" s="23"/>
      <c r="F505" s="41"/>
      <c r="G505" s="26"/>
      <c r="H505" s="98"/>
      <c r="I505" s="23">
        <v>10000</v>
      </c>
      <c r="J505" s="23"/>
      <c r="K505" s="23"/>
      <c r="L505" s="23"/>
      <c r="M505" s="23"/>
      <c r="N505" s="23"/>
      <c r="O505" s="188"/>
      <c r="P505" s="23"/>
      <c r="Q505" s="23"/>
      <c r="R505" s="23"/>
      <c r="S505" s="23"/>
      <c r="T505" s="23"/>
      <c r="U505" s="169"/>
      <c r="V505" s="169"/>
      <c r="W505" s="55"/>
      <c r="X505" s="56"/>
    </row>
    <row r="506" spans="1:26" ht="24.95" hidden="1" customHeight="1">
      <c r="A506" s="29"/>
      <c r="B506" s="112"/>
      <c r="C506" s="22"/>
      <c r="D506" s="22" t="s">
        <v>715</v>
      </c>
      <c r="E506" s="23"/>
      <c r="F506" s="41"/>
      <c r="G506" s="26"/>
      <c r="H506" s="98"/>
      <c r="I506" s="23">
        <v>20000</v>
      </c>
      <c r="J506" s="23"/>
      <c r="K506" s="23"/>
      <c r="L506" s="23"/>
      <c r="M506" s="23"/>
      <c r="N506" s="23"/>
      <c r="O506" s="188"/>
      <c r="P506" s="23"/>
      <c r="Q506" s="23"/>
      <c r="R506" s="23"/>
      <c r="S506" s="23"/>
      <c r="T506" s="23"/>
      <c r="U506" s="169"/>
      <c r="V506" s="169"/>
      <c r="W506" s="55"/>
      <c r="X506" s="56"/>
    </row>
    <row r="507" spans="1:26" ht="24.95" customHeight="1">
      <c r="A507" s="29" t="s">
        <v>716</v>
      </c>
      <c r="B507" s="112" t="s">
        <v>0</v>
      </c>
      <c r="C507" s="22" t="s">
        <v>717</v>
      </c>
      <c r="D507" s="22" t="s">
        <v>718</v>
      </c>
      <c r="E507" s="23">
        <v>120000</v>
      </c>
      <c r="F507" s="41">
        <f t="shared" si="92"/>
        <v>9.1808333333333342E-3</v>
      </c>
      <c r="G507" s="26">
        <v>21</v>
      </c>
      <c r="H507" s="98">
        <f>I507+J507</f>
        <v>1101.7</v>
      </c>
      <c r="I507" s="23">
        <v>0</v>
      </c>
      <c r="J507" s="23">
        <f>K507+L507</f>
        <v>1101.7</v>
      </c>
      <c r="K507" s="23">
        <v>0</v>
      </c>
      <c r="L507" s="23">
        <v>1101.7</v>
      </c>
      <c r="M507" s="23">
        <f>N507+P507</f>
        <v>38.26</v>
      </c>
      <c r="N507" s="23">
        <f>29.81+0.8</f>
        <v>30.61</v>
      </c>
      <c r="O507" s="188">
        <v>32</v>
      </c>
      <c r="P507" s="23">
        <f>7.45+0.2</f>
        <v>7.65</v>
      </c>
      <c r="Q507" s="188">
        <v>8</v>
      </c>
      <c r="R507" s="23">
        <v>0</v>
      </c>
      <c r="S507" s="23">
        <v>1100</v>
      </c>
      <c r="T507" s="23">
        <f>J507/5000*100</f>
        <v>22.034000000000002</v>
      </c>
      <c r="U507" s="169">
        <v>0</v>
      </c>
      <c r="V507" s="169">
        <f t="shared" ref="V507" si="95">U507*2</f>
        <v>0</v>
      </c>
      <c r="W507" s="55">
        <f>H507-R507-S507-U507</f>
        <v>1.7000000000000455</v>
      </c>
      <c r="X507" s="56"/>
    </row>
    <row r="508" spans="1:26" ht="24.95" customHeight="1">
      <c r="A508" s="29" t="s">
        <v>719</v>
      </c>
      <c r="B508" s="112" t="s">
        <v>0</v>
      </c>
      <c r="C508" s="22" t="s">
        <v>720</v>
      </c>
      <c r="D508" s="17" t="s">
        <v>1</v>
      </c>
      <c r="E508" s="23"/>
      <c r="F508" s="23"/>
      <c r="G508" s="37" t="s">
        <v>1</v>
      </c>
      <c r="H508" s="144" t="s">
        <v>1</v>
      </c>
      <c r="I508" s="17" t="s">
        <v>1</v>
      </c>
      <c r="J508" s="17" t="s">
        <v>1</v>
      </c>
      <c r="K508" s="17" t="s">
        <v>1</v>
      </c>
      <c r="L508" s="17" t="s">
        <v>1</v>
      </c>
      <c r="M508" s="17" t="s">
        <v>1</v>
      </c>
      <c r="N508" s="17" t="s">
        <v>1</v>
      </c>
      <c r="O508" s="212"/>
      <c r="P508" s="17" t="s">
        <v>1</v>
      </c>
      <c r="Q508" s="17"/>
      <c r="R508" s="17"/>
      <c r="S508" s="17" t="s">
        <v>1</v>
      </c>
      <c r="T508" s="17" t="s">
        <v>1</v>
      </c>
      <c r="U508" s="17" t="s">
        <v>1</v>
      </c>
      <c r="V508" s="68"/>
      <c r="W508" s="67" t="s">
        <v>1</v>
      </c>
      <c r="X508" s="56"/>
    </row>
    <row r="509" spans="1:26" ht="24.95" customHeight="1">
      <c r="A509" s="29" t="s">
        <v>92</v>
      </c>
      <c r="B509" s="112"/>
      <c r="C509" s="23" t="s">
        <v>721</v>
      </c>
      <c r="D509" s="107" t="s">
        <v>722</v>
      </c>
      <c r="E509" s="23">
        <v>150000</v>
      </c>
      <c r="F509" s="41">
        <f t="shared" si="92"/>
        <v>9.5739999999999992E-3</v>
      </c>
      <c r="G509" s="26">
        <v>36</v>
      </c>
      <c r="H509" s="98">
        <f>I509+J509</f>
        <v>1436.1</v>
      </c>
      <c r="I509" s="23">
        <v>0</v>
      </c>
      <c r="J509" s="23">
        <f>K509+L509</f>
        <v>1436.1</v>
      </c>
      <c r="K509" s="23">
        <v>0</v>
      </c>
      <c r="L509" s="23">
        <v>1436.1</v>
      </c>
      <c r="M509" s="23">
        <f>N509+P509</f>
        <v>221.85999999999999</v>
      </c>
      <c r="N509" s="23">
        <f>176.48+1.01</f>
        <v>177.48999999999998</v>
      </c>
      <c r="O509" s="188">
        <v>180</v>
      </c>
      <c r="P509" s="23">
        <f>44.12+0.25</f>
        <v>44.37</v>
      </c>
      <c r="Q509" s="188">
        <v>44</v>
      </c>
      <c r="R509" s="23">
        <v>0</v>
      </c>
      <c r="S509" s="23">
        <v>1500</v>
      </c>
      <c r="T509" s="23">
        <f>J509/5000*100</f>
        <v>28.721999999999998</v>
      </c>
      <c r="U509" s="169">
        <v>0</v>
      </c>
      <c r="V509" s="169">
        <f t="shared" ref="V509" si="96">U509*2</f>
        <v>0</v>
      </c>
      <c r="W509" s="55">
        <f>H509-R509-S509-U509</f>
        <v>-63.900000000000091</v>
      </c>
      <c r="X509" s="56"/>
    </row>
    <row r="510" spans="1:26" ht="24.95" customHeight="1">
      <c r="A510" s="29" t="s">
        <v>93</v>
      </c>
      <c r="B510" s="112" t="s">
        <v>0</v>
      </c>
      <c r="C510" s="22" t="s">
        <v>723</v>
      </c>
      <c r="D510" s="17" t="s">
        <v>1</v>
      </c>
      <c r="E510" s="23"/>
      <c r="F510" s="41"/>
      <c r="G510" s="37" t="s">
        <v>1</v>
      </c>
      <c r="H510" s="144" t="s">
        <v>1</v>
      </c>
      <c r="I510" s="17" t="s">
        <v>1</v>
      </c>
      <c r="J510" s="17" t="s">
        <v>1</v>
      </c>
      <c r="K510" s="17" t="s">
        <v>1</v>
      </c>
      <c r="L510" s="17" t="s">
        <v>1</v>
      </c>
      <c r="M510" s="17" t="s">
        <v>1</v>
      </c>
      <c r="N510" s="17" t="s">
        <v>1</v>
      </c>
      <c r="O510" s="212"/>
      <c r="P510" s="17" t="s">
        <v>1</v>
      </c>
      <c r="Q510" s="17"/>
      <c r="R510" s="17"/>
      <c r="S510" s="17" t="s">
        <v>1</v>
      </c>
      <c r="T510" s="17" t="s">
        <v>1</v>
      </c>
      <c r="U510" s="17" t="s">
        <v>1</v>
      </c>
      <c r="V510" s="68"/>
      <c r="W510" s="67" t="s">
        <v>1</v>
      </c>
      <c r="X510" s="56"/>
    </row>
    <row r="511" spans="1:26" ht="24.95" customHeight="1" thickBot="1">
      <c r="A511" s="151" t="s">
        <v>724</v>
      </c>
      <c r="B511" s="152" t="s">
        <v>0</v>
      </c>
      <c r="C511" s="23" t="s">
        <v>725</v>
      </c>
      <c r="D511" s="153" t="s">
        <v>726</v>
      </c>
      <c r="E511" s="154">
        <v>120000</v>
      </c>
      <c r="F511" s="155">
        <f t="shared" si="92"/>
        <v>1.1841666666666667E-3</v>
      </c>
      <c r="G511" s="156">
        <v>8</v>
      </c>
      <c r="H511" s="217">
        <f>I511+J511</f>
        <v>142.1</v>
      </c>
      <c r="I511" s="154">
        <v>0</v>
      </c>
      <c r="J511" s="154">
        <f>K511+L511</f>
        <v>142.1</v>
      </c>
      <c r="K511" s="154">
        <v>0</v>
      </c>
      <c r="L511" s="154">
        <v>142.1</v>
      </c>
      <c r="M511" s="154">
        <f>N511+P511</f>
        <v>8</v>
      </c>
      <c r="N511" s="154">
        <f>5.95+0.46</f>
        <v>6.41</v>
      </c>
      <c r="O511" s="218">
        <v>6</v>
      </c>
      <c r="P511" s="154">
        <f>1.48+0.11</f>
        <v>1.59</v>
      </c>
      <c r="Q511" s="218">
        <v>2</v>
      </c>
      <c r="R511" s="154">
        <v>0</v>
      </c>
      <c r="S511" s="154">
        <v>0</v>
      </c>
      <c r="T511" s="154">
        <f>J511/5000*100</f>
        <v>2.8419999999999996</v>
      </c>
      <c r="U511" s="154">
        <v>0</v>
      </c>
      <c r="V511" s="154">
        <f t="shared" ref="V511" si="97">U511*2</f>
        <v>0</v>
      </c>
      <c r="W511" s="163">
        <f>H511-R511-S511-U511</f>
        <v>142.1</v>
      </c>
      <c r="X511" s="164"/>
    </row>
    <row r="512" spans="1:26" ht="14.25">
      <c r="A512" s="248" t="s">
        <v>727</v>
      </c>
      <c r="B512" s="249"/>
      <c r="C512" s="249"/>
      <c r="D512" s="249"/>
      <c r="E512" s="249"/>
      <c r="F512" s="249"/>
      <c r="G512" s="249"/>
      <c r="H512" s="249"/>
      <c r="I512" s="249"/>
      <c r="J512" s="249"/>
      <c r="K512" s="249"/>
      <c r="L512" s="249"/>
      <c r="M512" s="249"/>
      <c r="N512" s="249"/>
      <c r="O512" s="249"/>
      <c r="P512" s="249"/>
      <c r="Q512" s="249"/>
      <c r="R512" s="249"/>
      <c r="S512" s="249"/>
      <c r="T512" s="249"/>
      <c r="U512" s="249"/>
      <c r="V512" s="249"/>
      <c r="W512" s="249"/>
      <c r="X512" s="249"/>
      <c r="Z512" s="6" t="s">
        <v>728</v>
      </c>
    </row>
    <row r="513" spans="1:24" s="2" customFormat="1">
      <c r="A513" s="1"/>
      <c r="C513" s="157"/>
      <c r="D513" s="157"/>
      <c r="E513" s="158"/>
      <c r="F513" s="159"/>
      <c r="G513" s="160"/>
      <c r="H513" s="219"/>
      <c r="I513" s="161"/>
      <c r="J513" s="161"/>
      <c r="K513" s="162"/>
      <c r="L513" s="161"/>
      <c r="M513" s="161"/>
      <c r="N513" s="162"/>
      <c r="O513" s="162"/>
      <c r="P513" s="162"/>
      <c r="Q513" s="162"/>
      <c r="R513" s="162"/>
      <c r="S513" s="161"/>
      <c r="T513" s="161"/>
      <c r="U513" s="161"/>
      <c r="V513" s="161"/>
      <c r="W513" s="161"/>
      <c r="X513" s="165"/>
    </row>
    <row r="514" spans="1:24" s="2" customFormat="1">
      <c r="A514" s="1"/>
      <c r="C514" s="157"/>
      <c r="D514" s="157"/>
      <c r="E514" s="158"/>
      <c r="F514" s="159"/>
      <c r="G514" s="160"/>
      <c r="H514" s="220"/>
      <c r="I514" s="161"/>
      <c r="J514" s="161"/>
      <c r="K514" s="162"/>
      <c r="L514" s="161"/>
      <c r="M514" s="161"/>
      <c r="N514" s="162"/>
      <c r="O514" s="162"/>
      <c r="P514" s="162"/>
      <c r="Q514" s="162"/>
      <c r="R514" s="162"/>
      <c r="S514" s="161"/>
      <c r="T514" s="161"/>
      <c r="U514" s="161"/>
      <c r="V514" s="161"/>
      <c r="W514" s="161"/>
      <c r="X514" s="165"/>
    </row>
    <row r="515" spans="1:24" s="2" customFormat="1">
      <c r="A515" s="1"/>
      <c r="C515" s="157"/>
      <c r="D515" s="157"/>
      <c r="E515" s="158"/>
      <c r="F515" s="159"/>
      <c r="G515" s="160"/>
      <c r="H515" s="219"/>
      <c r="I515" s="161"/>
      <c r="J515" s="161"/>
      <c r="K515" s="162"/>
      <c r="L515" s="161"/>
      <c r="M515" s="161"/>
      <c r="N515" s="162"/>
      <c r="O515" s="162"/>
      <c r="P515" s="162"/>
      <c r="Q515" s="162"/>
      <c r="R515" s="162"/>
      <c r="S515" s="161"/>
      <c r="T515" s="161"/>
      <c r="U515" s="161"/>
      <c r="V515" s="161"/>
      <c r="W515" s="161"/>
      <c r="X515" s="165"/>
    </row>
    <row r="516" spans="1:24" s="2" customFormat="1">
      <c r="A516" s="1"/>
      <c r="C516" s="157"/>
      <c r="D516" s="157"/>
      <c r="E516" s="158"/>
      <c r="F516" s="159"/>
      <c r="G516" s="160"/>
      <c r="H516" s="219"/>
      <c r="I516" s="161"/>
      <c r="J516" s="161"/>
      <c r="K516" s="162"/>
      <c r="L516" s="161"/>
      <c r="M516" s="161"/>
      <c r="N516" s="162"/>
      <c r="O516" s="162"/>
      <c r="P516" s="162"/>
      <c r="Q516" s="162"/>
      <c r="R516" s="162"/>
      <c r="S516" s="161"/>
      <c r="T516" s="161"/>
      <c r="U516" s="161"/>
      <c r="V516" s="161"/>
      <c r="W516" s="161"/>
      <c r="X516" s="165"/>
    </row>
    <row r="517" spans="1:24" s="2" customFormat="1">
      <c r="A517" s="1"/>
      <c r="C517" s="157"/>
      <c r="D517" s="157"/>
      <c r="E517" s="158"/>
      <c r="F517" s="159"/>
      <c r="G517" s="160"/>
      <c r="H517" s="219"/>
      <c r="I517" s="161"/>
      <c r="J517" s="161"/>
      <c r="K517" s="162"/>
      <c r="L517" s="161"/>
      <c r="M517" s="161"/>
      <c r="N517" s="162"/>
      <c r="O517" s="162"/>
      <c r="P517" s="162"/>
      <c r="Q517" s="162"/>
      <c r="R517" s="162"/>
      <c r="S517" s="161"/>
      <c r="T517" s="161"/>
      <c r="U517" s="161"/>
      <c r="V517" s="161"/>
      <c r="W517" s="161"/>
      <c r="X517" s="165"/>
    </row>
    <row r="518" spans="1:24" s="2" customFormat="1">
      <c r="A518" s="1"/>
      <c r="C518" s="157"/>
      <c r="D518" s="157"/>
      <c r="E518" s="158"/>
      <c r="F518" s="159"/>
      <c r="G518" s="160"/>
      <c r="H518" s="219"/>
      <c r="I518" s="161"/>
      <c r="J518" s="161"/>
      <c r="K518" s="162"/>
      <c r="L518" s="161"/>
      <c r="M518" s="161"/>
      <c r="N518" s="162"/>
      <c r="O518" s="162"/>
      <c r="P518" s="162"/>
      <c r="Q518" s="162"/>
      <c r="R518" s="162"/>
      <c r="S518" s="161"/>
      <c r="T518" s="161"/>
      <c r="U518" s="161"/>
      <c r="V518" s="161"/>
      <c r="W518" s="161"/>
      <c r="X518" s="165"/>
    </row>
    <row r="519" spans="1:24" s="2" customFormat="1">
      <c r="A519" s="1"/>
      <c r="C519" s="157"/>
      <c r="D519" s="157"/>
      <c r="E519" s="158"/>
      <c r="F519" s="159"/>
      <c r="G519" s="160"/>
      <c r="H519" s="219"/>
      <c r="I519" s="161"/>
      <c r="J519" s="161"/>
      <c r="K519" s="162"/>
      <c r="L519" s="161"/>
      <c r="M519" s="161"/>
      <c r="N519" s="162"/>
      <c r="O519" s="162"/>
      <c r="P519" s="162"/>
      <c r="Q519" s="162"/>
      <c r="R519" s="162"/>
      <c r="S519" s="161"/>
      <c r="T519" s="161"/>
      <c r="U519" s="161"/>
      <c r="V519" s="161"/>
      <c r="W519" s="161"/>
      <c r="X519" s="165"/>
    </row>
    <row r="520" spans="1:24" s="2" customFormat="1">
      <c r="A520" s="1"/>
      <c r="C520" s="157"/>
      <c r="D520" s="3"/>
      <c r="E520" s="4"/>
      <c r="F520" s="5"/>
      <c r="G520" s="1"/>
      <c r="H520" s="176"/>
      <c r="K520" s="6"/>
      <c r="N520" s="6"/>
      <c r="O520" s="6"/>
      <c r="P520" s="6"/>
      <c r="Q520" s="6"/>
      <c r="R520" s="6"/>
      <c r="X520" s="7"/>
    </row>
    <row r="523" spans="1:24" s="2" customFormat="1">
      <c r="A523" s="1"/>
      <c r="C523" s="3"/>
      <c r="D523" s="3"/>
      <c r="E523" s="4"/>
      <c r="F523" s="5"/>
      <c r="G523" s="1"/>
      <c r="H523" s="176"/>
      <c r="K523" s="6"/>
      <c r="M523" s="221"/>
      <c r="N523" s="162"/>
      <c r="O523" s="162"/>
      <c r="P523" s="162"/>
      <c r="Q523" s="162"/>
      <c r="R523" s="162"/>
      <c r="S523" s="221"/>
      <c r="T523" s="221"/>
      <c r="U523" s="221"/>
      <c r="V523" s="221"/>
      <c r="W523" s="221"/>
      <c r="X523" s="7"/>
    </row>
    <row r="524" spans="1:24" s="2" customFormat="1">
      <c r="A524" s="1"/>
      <c r="C524" s="3"/>
      <c r="D524" s="3"/>
      <c r="E524" s="4"/>
      <c r="F524" s="5"/>
      <c r="G524" s="1"/>
      <c r="H524" s="176"/>
      <c r="K524" s="6"/>
      <c r="M524" s="221"/>
      <c r="N524" s="162"/>
      <c r="O524" s="162"/>
      <c r="P524" s="162"/>
      <c r="Q524" s="162"/>
      <c r="R524" s="162"/>
      <c r="S524" s="221"/>
      <c r="T524" s="221"/>
      <c r="U524" s="221"/>
      <c r="V524" s="221"/>
      <c r="W524" s="221"/>
      <c r="X524" s="7"/>
    </row>
    <row r="525" spans="1:24" s="2" customFormat="1">
      <c r="E525" s="166"/>
      <c r="F525" s="6"/>
      <c r="G525" s="1"/>
      <c r="H525" s="176"/>
      <c r="M525" s="221"/>
      <c r="N525" s="162"/>
      <c r="O525" s="162"/>
      <c r="P525" s="162"/>
      <c r="Q525" s="162"/>
      <c r="R525" s="162"/>
      <c r="S525" s="221"/>
      <c r="T525" s="221"/>
      <c r="U525" s="221"/>
      <c r="V525" s="221"/>
      <c r="W525" s="221"/>
    </row>
    <row r="526" spans="1:24" s="2" customFormat="1">
      <c r="E526" s="166"/>
      <c r="F526" s="6"/>
      <c r="G526" s="1"/>
      <c r="H526" s="176"/>
      <c r="M526" s="221"/>
      <c r="N526" s="162"/>
      <c r="O526" s="162"/>
      <c r="P526" s="162"/>
      <c r="Q526" s="162"/>
      <c r="R526" s="162"/>
      <c r="S526" s="221"/>
      <c r="T526" s="221"/>
      <c r="U526" s="221"/>
      <c r="V526" s="221"/>
      <c r="W526" s="221"/>
    </row>
    <row r="527" spans="1:24" s="2" customFormat="1">
      <c r="E527" s="166"/>
      <c r="F527" s="6"/>
      <c r="G527" s="1"/>
      <c r="H527" s="176"/>
      <c r="M527" s="221"/>
      <c r="N527" s="162"/>
      <c r="O527" s="162"/>
      <c r="P527" s="162"/>
      <c r="Q527" s="162"/>
      <c r="R527" s="162"/>
      <c r="S527" s="221"/>
      <c r="T527" s="221"/>
      <c r="U527" s="221"/>
      <c r="V527" s="221"/>
      <c r="W527" s="221"/>
    </row>
    <row r="528" spans="1:24" s="2" customFormat="1">
      <c r="E528" s="166"/>
      <c r="F528" s="6"/>
      <c r="G528" s="1"/>
      <c r="H528" s="176"/>
      <c r="M528" s="221"/>
      <c r="N528" s="162"/>
      <c r="O528" s="162"/>
      <c r="P528" s="162"/>
      <c r="Q528" s="162"/>
      <c r="R528" s="162"/>
      <c r="S528" s="221"/>
      <c r="T528" s="221"/>
      <c r="U528" s="221"/>
      <c r="V528" s="221"/>
      <c r="W528" s="221"/>
    </row>
    <row r="529" spans="5:23" s="2" customFormat="1">
      <c r="E529" s="166"/>
      <c r="F529" s="6"/>
      <c r="G529" s="1"/>
      <c r="H529" s="176"/>
      <c r="M529" s="221"/>
      <c r="N529" s="162"/>
      <c r="O529" s="162"/>
      <c r="P529" s="162"/>
      <c r="Q529" s="162"/>
      <c r="R529" s="162"/>
      <c r="S529" s="221"/>
      <c r="T529" s="221"/>
      <c r="U529" s="221"/>
      <c r="V529" s="221"/>
      <c r="W529" s="221"/>
    </row>
    <row r="530" spans="5:23" s="2" customFormat="1">
      <c r="E530" s="166"/>
      <c r="F530" s="6"/>
      <c r="G530" s="1"/>
      <c r="H530" s="176"/>
      <c r="M530" s="221"/>
      <c r="N530" s="162"/>
      <c r="O530" s="162"/>
      <c r="P530" s="162"/>
      <c r="Q530" s="162"/>
      <c r="R530" s="162"/>
      <c r="S530" s="221"/>
      <c r="T530" s="221"/>
      <c r="U530" s="221"/>
      <c r="V530" s="221"/>
      <c r="W530" s="221"/>
    </row>
    <row r="531" spans="5:23" s="2" customFormat="1">
      <c r="E531" s="166"/>
      <c r="F531" s="6"/>
      <c r="G531" s="1"/>
      <c r="H531" s="176"/>
      <c r="M531" s="221"/>
      <c r="N531" s="162"/>
      <c r="O531" s="162"/>
      <c r="P531" s="162"/>
      <c r="Q531" s="162"/>
      <c r="R531" s="162"/>
      <c r="S531" s="221"/>
      <c r="T531" s="221"/>
      <c r="U531" s="221"/>
      <c r="V531" s="221"/>
      <c r="W531" s="221"/>
    </row>
    <row r="532" spans="5:23" s="2" customFormat="1">
      <c r="E532" s="166"/>
      <c r="F532" s="6"/>
      <c r="G532" s="1"/>
      <c r="H532" s="176"/>
      <c r="M532" s="221"/>
      <c r="N532" s="162"/>
      <c r="O532" s="162"/>
      <c r="P532" s="162"/>
      <c r="Q532" s="162"/>
      <c r="R532" s="162"/>
      <c r="S532" s="221"/>
      <c r="T532" s="221"/>
      <c r="U532" s="221"/>
      <c r="V532" s="221"/>
      <c r="W532" s="221"/>
    </row>
    <row r="533" spans="5:23" s="2" customFormat="1">
      <c r="E533" s="166"/>
      <c r="F533" s="6"/>
      <c r="G533" s="1"/>
      <c r="H533" s="176"/>
      <c r="M533" s="221"/>
      <c r="N533" s="162"/>
      <c r="O533" s="162"/>
      <c r="P533" s="162"/>
      <c r="Q533" s="162"/>
      <c r="R533" s="162"/>
      <c r="S533" s="221"/>
      <c r="T533" s="221"/>
      <c r="U533" s="221"/>
      <c r="V533" s="221"/>
      <c r="W533" s="221"/>
    </row>
    <row r="534" spans="5:23" s="2" customFormat="1">
      <c r="E534" s="166"/>
      <c r="F534" s="6"/>
      <c r="G534" s="1"/>
      <c r="H534" s="176"/>
      <c r="M534" s="221"/>
      <c r="N534" s="162"/>
      <c r="O534" s="162"/>
      <c r="P534" s="162"/>
      <c r="Q534" s="162"/>
      <c r="R534" s="162"/>
      <c r="S534" s="221"/>
      <c r="T534" s="221"/>
      <c r="U534" s="221"/>
      <c r="V534" s="221"/>
      <c r="W534" s="221"/>
    </row>
    <row r="535" spans="5:23" s="2" customFormat="1">
      <c r="E535" s="166"/>
      <c r="F535" s="6"/>
      <c r="G535" s="1"/>
      <c r="H535" s="176"/>
      <c r="M535" s="221"/>
      <c r="N535" s="162"/>
      <c r="O535" s="162"/>
      <c r="P535" s="162"/>
      <c r="Q535" s="162"/>
      <c r="R535" s="162"/>
      <c r="S535" s="221"/>
      <c r="T535" s="221"/>
      <c r="U535" s="221"/>
      <c r="V535" s="221"/>
      <c r="W535" s="221"/>
    </row>
    <row r="536" spans="5:23" s="2" customFormat="1">
      <c r="E536" s="166"/>
      <c r="F536" s="6"/>
      <c r="G536" s="1"/>
      <c r="H536" s="176"/>
      <c r="M536" s="221"/>
      <c r="N536" s="162"/>
      <c r="O536" s="162"/>
      <c r="P536" s="162"/>
      <c r="Q536" s="162"/>
      <c r="R536" s="162"/>
      <c r="S536" s="221"/>
      <c r="T536" s="221"/>
      <c r="U536" s="221"/>
      <c r="V536" s="221"/>
      <c r="W536" s="221"/>
    </row>
    <row r="537" spans="5:23" s="2" customFormat="1">
      <c r="E537" s="166"/>
      <c r="F537" s="6"/>
      <c r="G537" s="1"/>
      <c r="H537" s="176"/>
      <c r="M537" s="221"/>
      <c r="N537" s="162"/>
      <c r="O537" s="162"/>
      <c r="P537" s="162"/>
      <c r="Q537" s="162"/>
      <c r="R537" s="162"/>
      <c r="S537" s="221"/>
      <c r="T537" s="221"/>
      <c r="U537" s="221"/>
      <c r="V537" s="221"/>
      <c r="W537" s="221"/>
    </row>
    <row r="538" spans="5:23" s="2" customFormat="1">
      <c r="E538" s="166"/>
      <c r="F538" s="6"/>
      <c r="G538" s="1"/>
      <c r="H538" s="176"/>
      <c r="M538" s="221"/>
      <c r="N538" s="162"/>
      <c r="O538" s="162"/>
      <c r="P538" s="162"/>
      <c r="Q538" s="162"/>
      <c r="R538" s="162"/>
      <c r="S538" s="221"/>
      <c r="T538" s="221"/>
      <c r="U538" s="221"/>
      <c r="V538" s="221"/>
      <c r="W538" s="221"/>
    </row>
    <row r="539" spans="5:23" s="2" customFormat="1">
      <c r="E539" s="166"/>
      <c r="F539" s="6"/>
      <c r="G539" s="1"/>
      <c r="H539" s="176"/>
      <c r="M539" s="221"/>
      <c r="N539" s="162"/>
      <c r="O539" s="162"/>
      <c r="P539" s="162"/>
      <c r="Q539" s="162"/>
      <c r="R539" s="162"/>
      <c r="S539" s="221"/>
      <c r="T539" s="221"/>
      <c r="U539" s="221"/>
      <c r="V539" s="221"/>
      <c r="W539" s="221"/>
    </row>
    <row r="540" spans="5:23" s="2" customFormat="1">
      <c r="E540" s="166"/>
      <c r="F540" s="6"/>
      <c r="G540" s="1"/>
      <c r="H540" s="176"/>
      <c r="M540" s="221"/>
      <c r="N540" s="162"/>
      <c r="O540" s="162"/>
      <c r="P540" s="162"/>
      <c r="Q540" s="162"/>
      <c r="R540" s="162"/>
      <c r="S540" s="221"/>
      <c r="T540" s="221"/>
      <c r="U540" s="221"/>
      <c r="V540" s="221"/>
      <c r="W540" s="221"/>
    </row>
    <row r="541" spans="5:23" s="2" customFormat="1">
      <c r="E541" s="166"/>
      <c r="F541" s="6"/>
      <c r="G541" s="1"/>
      <c r="H541" s="176"/>
      <c r="M541" s="221"/>
      <c r="N541" s="162"/>
      <c r="O541" s="162"/>
      <c r="P541" s="162"/>
      <c r="Q541" s="162"/>
      <c r="R541" s="162"/>
      <c r="S541" s="221"/>
      <c r="T541" s="221"/>
      <c r="U541" s="221"/>
      <c r="V541" s="221"/>
      <c r="W541" s="221"/>
    </row>
    <row r="542" spans="5:23" s="2" customFormat="1">
      <c r="E542" s="166"/>
      <c r="F542" s="6"/>
      <c r="G542" s="1"/>
      <c r="H542" s="176"/>
      <c r="M542" s="221"/>
      <c r="N542" s="162"/>
      <c r="O542" s="162"/>
      <c r="P542" s="162"/>
      <c r="Q542" s="162"/>
      <c r="R542" s="162"/>
      <c r="S542" s="221"/>
      <c r="T542" s="221"/>
      <c r="U542" s="221"/>
      <c r="V542" s="221"/>
      <c r="W542" s="221"/>
    </row>
  </sheetData>
  <mergeCells count="36">
    <mergeCell ref="A497:W497"/>
    <mergeCell ref="A512:X512"/>
    <mergeCell ref="A262:W262"/>
    <mergeCell ref="A276:W276"/>
    <mergeCell ref="A304:W304"/>
    <mergeCell ref="A319:W319"/>
    <mergeCell ref="A380:W380"/>
    <mergeCell ref="A487:W487"/>
    <mergeCell ref="A162:W162"/>
    <mergeCell ref="T3:T4"/>
    <mergeCell ref="U3:U4"/>
    <mergeCell ref="V3:V4"/>
    <mergeCell ref="W3:W4"/>
    <mergeCell ref="A22:W22"/>
    <mergeCell ref="A52:W52"/>
    <mergeCell ref="A54:W54"/>
    <mergeCell ref="A100:W100"/>
    <mergeCell ref="A113:W113"/>
    <mergeCell ref="A6:W6"/>
    <mergeCell ref="J3:J4"/>
    <mergeCell ref="K3:L3"/>
    <mergeCell ref="M3:M4"/>
    <mergeCell ref="N3:Q3"/>
    <mergeCell ref="R3:R4"/>
    <mergeCell ref="S3:S4"/>
    <mergeCell ref="A2:X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X3:X4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众筹_配捐_20221231 (2)</vt:lpstr>
      <vt:lpstr>'众筹_配捐_20221231 (2)'!Print_Area</vt:lpstr>
      <vt:lpstr>'众筹_配捐_20221231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jsfp0712</dc:creator>
  <cp:lastModifiedBy>HP</cp:lastModifiedBy>
  <cp:lastPrinted>2023-01-29T09:04:09Z</cp:lastPrinted>
  <dcterms:created xsi:type="dcterms:W3CDTF">2022-08-18T07:50:00Z</dcterms:created>
  <dcterms:modified xsi:type="dcterms:W3CDTF">2023-02-06T02:47:32Z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2A01202FFD3441C1838853333A836233</vt:lpwstr>
  </property>
  <property fmtid="{D5CDD505-2E9C-101B-9397-08002B2CF9AE}" pid="3" name="KSOProductBuildVer">
    <vt:lpwstr>2052-11.1.0.12980</vt:lpwstr>
  </property>
</Properties>
</file>